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 Havránková\Documents\Rozbory\2023 Rozbory\Rozbor 4Q_2023\"/>
    </mc:Choice>
  </mc:AlternateContent>
  <bookViews>
    <workbookView xWindow="0" yWindow="0" windowWidth="17265" windowHeight="8520" activeTab="1"/>
  </bookViews>
  <sheets>
    <sheet name="podrobne" sheetId="1" r:id="rId1"/>
    <sheet name="návrh EO" sheetId="3" r:id="rId2"/>
  </sheets>
  <definedNames>
    <definedName name="_xlnm.Print_Titles" localSheetId="0">podrobne!$6:$7</definedName>
  </definedNames>
  <calcPr calcId="152511"/>
</workbook>
</file>

<file path=xl/calcChain.xml><?xml version="1.0" encoding="utf-8"?>
<calcChain xmlns="http://schemas.openxmlformats.org/spreadsheetml/2006/main">
  <c r="B23" i="3" l="1"/>
  <c r="C23" i="3" l="1"/>
  <c r="F47" i="1"/>
  <c r="E37" i="3" l="1"/>
  <c r="F78" i="1" l="1"/>
  <c r="F56" i="1"/>
  <c r="F64" i="1"/>
  <c r="F26" i="1"/>
  <c r="F48" i="1" s="1"/>
  <c r="F18" i="1"/>
  <c r="F22" i="1"/>
  <c r="C38" i="3"/>
  <c r="C43" i="3"/>
  <c r="C41" i="3"/>
  <c r="C40" i="3"/>
  <c r="F94" i="1"/>
  <c r="F98" i="1"/>
  <c r="F53" i="1"/>
  <c r="F65" i="1" s="1"/>
  <c r="F23" i="1" l="1"/>
  <c r="F82" i="1" s="1"/>
  <c r="C8" i="3" l="1"/>
  <c r="C42" i="3" l="1"/>
  <c r="C31" i="3"/>
  <c r="B31" i="3"/>
  <c r="C24" i="3"/>
  <c r="B24" i="3"/>
  <c r="B41" i="3"/>
  <c r="B40" i="3"/>
  <c r="B39" i="3"/>
  <c r="B38" i="3"/>
  <c r="C34" i="3"/>
  <c r="C36" i="3" s="1"/>
  <c r="B34" i="3"/>
  <c r="B36" i="3" s="1"/>
  <c r="C33" i="3"/>
  <c r="B33" i="3"/>
  <c r="C32" i="3"/>
  <c r="B32" i="3"/>
  <c r="C30" i="3"/>
  <c r="B30" i="3"/>
  <c r="C29" i="3"/>
  <c r="B29" i="3"/>
  <c r="C28" i="3"/>
  <c r="B28" i="3"/>
  <c r="C27" i="3"/>
  <c r="B27" i="3"/>
  <c r="C26" i="3"/>
  <c r="B26" i="3"/>
  <c r="C25" i="3"/>
  <c r="B25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B9" i="3"/>
  <c r="B8" i="3"/>
  <c r="C7" i="3"/>
  <c r="B7" i="3"/>
  <c r="D31" i="3" l="1"/>
  <c r="D33" i="3"/>
  <c r="D11" i="3"/>
  <c r="D13" i="3"/>
  <c r="D15" i="3"/>
  <c r="D19" i="3"/>
  <c r="B6" i="3"/>
  <c r="D25" i="3"/>
  <c r="D27" i="3"/>
  <c r="D20" i="3"/>
  <c r="D22" i="3"/>
  <c r="D23" i="3"/>
  <c r="D28" i="3"/>
  <c r="D36" i="3"/>
  <c r="D7" i="3"/>
  <c r="C10" i="3"/>
  <c r="D17" i="3"/>
  <c r="D29" i="3"/>
  <c r="D32" i="3"/>
  <c r="B10" i="3"/>
  <c r="D12" i="3"/>
  <c r="D14" i="3"/>
  <c r="D21" i="3"/>
  <c r="D26" i="3"/>
  <c r="D34" i="3"/>
  <c r="D8" i="3"/>
  <c r="D16" i="3"/>
  <c r="D18" i="3"/>
  <c r="D30" i="3"/>
  <c r="C6" i="3"/>
  <c r="C37" i="3" l="1"/>
  <c r="C44" i="3" s="1"/>
  <c r="D10" i="3"/>
  <c r="B37" i="3"/>
  <c r="B44" i="3" s="1"/>
  <c r="D6" i="3"/>
  <c r="G8" i="1" l="1"/>
  <c r="G87" i="1" l="1"/>
  <c r="G95" i="1"/>
  <c r="D77" i="1"/>
  <c r="D78" i="1" s="1"/>
  <c r="D47" i="1"/>
  <c r="D30" i="1"/>
  <c r="D28" i="1"/>
  <c r="D26" i="1"/>
  <c r="D48" i="1" s="1"/>
  <c r="D22" i="1"/>
  <c r="D23" i="1" s="1"/>
  <c r="D18" i="1"/>
  <c r="G61" i="1"/>
  <c r="D58" i="1"/>
  <c r="D64" i="1"/>
  <c r="D53" i="1"/>
  <c r="D56" i="1"/>
  <c r="D67" i="1"/>
  <c r="D68" i="1" s="1"/>
  <c r="D65" i="1" l="1"/>
  <c r="D102" i="1" l="1"/>
  <c r="D103" i="1" s="1"/>
  <c r="D88" i="1"/>
  <c r="D89" i="1" s="1"/>
  <c r="D104" i="1" l="1"/>
  <c r="D82" i="1"/>
  <c r="G31" i="1" l="1"/>
  <c r="G30" i="1"/>
  <c r="G29" i="1"/>
  <c r="F105" i="1" l="1"/>
  <c r="G104" i="1" l="1"/>
  <c r="G103" i="1"/>
  <c r="G102" i="1"/>
  <c r="G101" i="1"/>
  <c r="G100" i="1"/>
  <c r="G98" i="1"/>
  <c r="G97" i="1"/>
  <c r="G96" i="1"/>
  <c r="G89" i="1"/>
  <c r="G88" i="1"/>
  <c r="G86" i="1"/>
  <c r="G85" i="1"/>
  <c r="G84" i="1"/>
  <c r="G83" i="1"/>
  <c r="G82" i="1"/>
  <c r="G81" i="1"/>
  <c r="G80" i="1"/>
  <c r="G79" i="1"/>
  <c r="G78" i="1"/>
  <c r="G77" i="1"/>
  <c r="G76" i="1"/>
  <c r="G73" i="1"/>
  <c r="G72" i="1"/>
  <c r="G68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28" i="1"/>
  <c r="G27" i="1"/>
  <c r="G26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50" i="1" l="1"/>
  <c r="G51" i="1"/>
</calcChain>
</file>

<file path=xl/sharedStrings.xml><?xml version="1.0" encoding="utf-8"?>
<sst xmlns="http://schemas.openxmlformats.org/spreadsheetml/2006/main" count="323" uniqueCount="213">
  <si>
    <t>(v Kč)</t>
  </si>
  <si>
    <t>SU</t>
  </si>
  <si>
    <t>AU</t>
  </si>
  <si>
    <t>Text</t>
  </si>
  <si>
    <t>Rozpočet schválený</t>
  </si>
  <si>
    <t>Skutečnost</t>
  </si>
  <si>
    <t>1</t>
  </si>
  <si>
    <t>3</t>
  </si>
  <si>
    <t>501</t>
  </si>
  <si>
    <t>0301</t>
  </si>
  <si>
    <t>léky</t>
  </si>
  <si>
    <t>0302</t>
  </si>
  <si>
    <t>SZM</t>
  </si>
  <si>
    <t>0303</t>
  </si>
  <si>
    <t>jednorázové pleny</t>
  </si>
  <si>
    <t>0311</t>
  </si>
  <si>
    <t>noviny, tisk</t>
  </si>
  <si>
    <t>0320</t>
  </si>
  <si>
    <t>strava pacienti</t>
  </si>
  <si>
    <t>0330</t>
  </si>
  <si>
    <t>DKP 0,- až 3.000,-</t>
  </si>
  <si>
    <t>0341</t>
  </si>
  <si>
    <t>prádlo pro pacienty</t>
  </si>
  <si>
    <t>0342</t>
  </si>
  <si>
    <t>OOPP</t>
  </si>
  <si>
    <t>0350</t>
  </si>
  <si>
    <t>pohonné hmoty</t>
  </si>
  <si>
    <t>0360</t>
  </si>
  <si>
    <t>všeobecný materiál</t>
  </si>
  <si>
    <t>Spotřeba materiálu</t>
  </si>
  <si>
    <t>502</t>
  </si>
  <si>
    <t>elektrická energie</t>
  </si>
  <si>
    <t>0310</t>
  </si>
  <si>
    <t>plyn</t>
  </si>
  <si>
    <t>voda</t>
  </si>
  <si>
    <t>Spotřeba energie</t>
  </si>
  <si>
    <t>50</t>
  </si>
  <si>
    <t>511</t>
  </si>
  <si>
    <t>0500</t>
  </si>
  <si>
    <t>běžné opravy a údržba</t>
  </si>
  <si>
    <t>Opravy a udržování</t>
  </si>
  <si>
    <t>512</t>
  </si>
  <si>
    <t>0300</t>
  </si>
  <si>
    <t>cestovné</t>
  </si>
  <si>
    <t>Cestovné</t>
  </si>
  <si>
    <t>513</t>
  </si>
  <si>
    <t>reprezentace ředitelka</t>
  </si>
  <si>
    <t>Náklady na reprezentaci</t>
  </si>
  <si>
    <t>518</t>
  </si>
  <si>
    <t>0340</t>
  </si>
  <si>
    <t>praní prádla</t>
  </si>
  <si>
    <t>úklid budovy</t>
  </si>
  <si>
    <t>technická správa budovy</t>
  </si>
  <si>
    <t>0370</t>
  </si>
  <si>
    <t>poštovné a ceniny</t>
  </si>
  <si>
    <t>0380</t>
  </si>
  <si>
    <t>0390</t>
  </si>
  <si>
    <t>telefony a internet</t>
  </si>
  <si>
    <t>0400</t>
  </si>
  <si>
    <t>mzdová agenda</t>
  </si>
  <si>
    <t>0410</t>
  </si>
  <si>
    <t>strava zaměstnanci</t>
  </si>
  <si>
    <t>0420</t>
  </si>
  <si>
    <t>služby PC</t>
  </si>
  <si>
    <t>0430</t>
  </si>
  <si>
    <t>elektroslužby</t>
  </si>
  <si>
    <t>0440</t>
  </si>
  <si>
    <t>kontroly a revize zdravotních přístrojů</t>
  </si>
  <si>
    <t>0450</t>
  </si>
  <si>
    <t>kontroly a revize ostatní</t>
  </si>
  <si>
    <t>0460</t>
  </si>
  <si>
    <t>odvoz tuhých a toxických odpadů</t>
  </si>
  <si>
    <t>0470</t>
  </si>
  <si>
    <t>ostatní služby</t>
  </si>
  <si>
    <t>0480</t>
  </si>
  <si>
    <t>bankovní služby</t>
  </si>
  <si>
    <t>Ostatní služby</t>
  </si>
  <si>
    <t>51</t>
  </si>
  <si>
    <t>521</t>
  </si>
  <si>
    <t>hrubé mzdy zaměstnanců</t>
  </si>
  <si>
    <t>ostatní osobní náklady</t>
  </si>
  <si>
    <t>DPN</t>
  </si>
  <si>
    <t>Mzdové náklady</t>
  </si>
  <si>
    <t>524</t>
  </si>
  <si>
    <t>povinné pojištění organizace na SP</t>
  </si>
  <si>
    <t>povinné pojištění organizace na ZP</t>
  </si>
  <si>
    <t>Zákonné sociální pojištění</t>
  </si>
  <si>
    <t>525</t>
  </si>
  <si>
    <t>Česká Kooperativa</t>
  </si>
  <si>
    <t>Jiné sociální pojištění</t>
  </si>
  <si>
    <t>527</t>
  </si>
  <si>
    <t>JP FKSP</t>
  </si>
  <si>
    <t>lékařské prohlídky</t>
  </si>
  <si>
    <t>školení a vzdělávání zaměstnanců</t>
  </si>
  <si>
    <t>Zákonné sociální náklady</t>
  </si>
  <si>
    <t>52</t>
  </si>
  <si>
    <t>551</t>
  </si>
  <si>
    <t>odpisy DHM</t>
  </si>
  <si>
    <t>Odpisy dlouhodobého majetku</t>
  </si>
  <si>
    <t>558</t>
  </si>
  <si>
    <t>DKP 3.000,- až 40.000,- Kč</t>
  </si>
  <si>
    <t>Náklady z drobného dlouhodobého majetku</t>
  </si>
  <si>
    <t>55</t>
  </si>
  <si>
    <t>Náklady celkem</t>
  </si>
  <si>
    <t>602</t>
  </si>
  <si>
    <t>platby od klientů na sociálních lůžkách</t>
  </si>
  <si>
    <t>přiznané dávky klientů na SL</t>
  </si>
  <si>
    <t>0600</t>
  </si>
  <si>
    <t>tržby od ZP za LDN</t>
  </si>
  <si>
    <t>0610</t>
  </si>
  <si>
    <t>tržby od ZP za sociální lůžka</t>
  </si>
  <si>
    <t>0620</t>
  </si>
  <si>
    <t>ostatní</t>
  </si>
  <si>
    <t>Výnosy z prodeje služeb</t>
  </si>
  <si>
    <t>60</t>
  </si>
  <si>
    <t>648</t>
  </si>
  <si>
    <t>Čerpání fondů</t>
  </si>
  <si>
    <t>64</t>
  </si>
  <si>
    <t>662</t>
  </si>
  <si>
    <t>úroky z účtů</t>
  </si>
  <si>
    <t>Úroky</t>
  </si>
  <si>
    <t>66</t>
  </si>
  <si>
    <t>672</t>
  </si>
  <si>
    <t>dotace zřizovatele</t>
  </si>
  <si>
    <t>dotace SL</t>
  </si>
  <si>
    <t>Výnosy vybran.místních vládních institucí z transf</t>
  </si>
  <si>
    <t>67</t>
  </si>
  <si>
    <t>Výnosy celkem</t>
  </si>
  <si>
    <t>Hospodářský výsledek</t>
  </si>
  <si>
    <t xml:space="preserve">(v tis. Kč) </t>
  </si>
  <si>
    <t>z toho: tržby od zdrav. poj. za ZL, SL</t>
  </si>
  <si>
    <t xml:space="preserve">           úroky,fondy,ost.výnosy a dotace </t>
  </si>
  <si>
    <t xml:space="preserve">                v tom:  FR, FRIM LDN</t>
  </si>
  <si>
    <t>Spotřebované nákupy</t>
  </si>
  <si>
    <t>z toho:spotřební materiál</t>
  </si>
  <si>
    <t xml:space="preserve">          drobný hmotný majetek celkem</t>
  </si>
  <si>
    <t xml:space="preserve">          strava pacienti</t>
  </si>
  <si>
    <t xml:space="preserve">          spotřeba energie</t>
  </si>
  <si>
    <t>Služby</t>
  </si>
  <si>
    <t>z toho: výkony spojů</t>
  </si>
  <si>
    <t xml:space="preserve">           praní prádla</t>
  </si>
  <si>
    <t xml:space="preserve">           úklid</t>
  </si>
  <si>
    <t xml:space="preserve">           opravy a udržování</t>
  </si>
  <si>
    <t xml:space="preserve">           cestovné</t>
  </si>
  <si>
    <t xml:space="preserve">           ostatní služby</t>
  </si>
  <si>
    <t>Osobní náklady</t>
  </si>
  <si>
    <t>z toho: platy zaměstnanců</t>
  </si>
  <si>
    <t xml:space="preserve">           ostatní osobní náklady</t>
  </si>
  <si>
    <t xml:space="preserve">           zákonné sociální pojištění</t>
  </si>
  <si>
    <t xml:space="preserve">           zákonné zdravotní pojištění</t>
  </si>
  <si>
    <t xml:space="preserve">           zákonné sociální náklady</t>
  </si>
  <si>
    <t xml:space="preserve">Daně a poplatky </t>
  </si>
  <si>
    <t>Odpisy</t>
  </si>
  <si>
    <t>z toho: odpisy budov</t>
  </si>
  <si>
    <t xml:space="preserve">           ostatní</t>
  </si>
  <si>
    <t>Výsledek po promítnutí příspěvku</t>
  </si>
  <si>
    <t>Použití FI LDN (údržba,invest.)</t>
  </si>
  <si>
    <t>IČO: 45243956</t>
  </si>
  <si>
    <t>Název: Léčebna dlouhodobě nemocných v Praze 6</t>
  </si>
  <si>
    <t>skutečnost</t>
  </si>
  <si>
    <t>index</t>
  </si>
  <si>
    <t>plnění v %</t>
  </si>
  <si>
    <t>Schválený/Použitý neinvestiční příspěvek ÚMČ P-6</t>
  </si>
  <si>
    <t>OOPP zaměstnanci</t>
  </si>
  <si>
    <t>591</t>
  </si>
  <si>
    <t>daně z příjmů hl.čin.</t>
  </si>
  <si>
    <t>Daň z příjmů</t>
  </si>
  <si>
    <t>59</t>
  </si>
  <si>
    <t>649</t>
  </si>
  <si>
    <t>bezúplatně přijaté zásoby, DDHM,...</t>
  </si>
  <si>
    <t>Ostatní výnosy z činnosti</t>
  </si>
  <si>
    <t>dotace státní</t>
  </si>
  <si>
    <t>poradenství</t>
  </si>
  <si>
    <t>538</t>
  </si>
  <si>
    <t>poplatky TV</t>
  </si>
  <si>
    <t>Jiné daně a poplatky</t>
  </si>
  <si>
    <t>53</t>
  </si>
  <si>
    <t>sl3 / sl2</t>
  </si>
  <si>
    <t>DPN z OON</t>
  </si>
  <si>
    <t xml:space="preserve"> </t>
  </si>
  <si>
    <t>schvál.úpravy</t>
  </si>
  <si>
    <t>Rozpočet po úpravách</t>
  </si>
  <si>
    <t>agregované výkony</t>
  </si>
  <si>
    <t>542</t>
  </si>
  <si>
    <t>Jiné pokuty a penále</t>
  </si>
  <si>
    <t>54</t>
  </si>
  <si>
    <t xml:space="preserve">    </t>
  </si>
  <si>
    <t>rozpočet</t>
  </si>
  <si>
    <t xml:space="preserve">           léky, SZM, pleny</t>
  </si>
  <si>
    <t>Investiční příspěvek ÚMČ</t>
  </si>
  <si>
    <t>Náklady z vyřazených pohledávek</t>
  </si>
  <si>
    <t>557</t>
  </si>
  <si>
    <t>náklady z vyřazených pohledávek</t>
  </si>
  <si>
    <t>úroky z termín. Vkladů</t>
  </si>
  <si>
    <t>% čerpání</t>
  </si>
  <si>
    <t>použití FI na opravy a údržbu</t>
  </si>
  <si>
    <t>nerozpočtováno</t>
  </si>
  <si>
    <t>rekonstrukce HM z investic</t>
  </si>
  <si>
    <t>Schválený/Použitý neinvestiční příspěvek SL (MHMP)</t>
  </si>
  <si>
    <t>Ponechání části invest. dotace z roku 2022</t>
  </si>
  <si>
    <t>Invesiční příspěvek 2023 UMČ</t>
  </si>
  <si>
    <t>Převod z neinvestičního příspěvku na investiční 01</t>
  </si>
  <si>
    <t>Vypracovala Ing. Monika Havránková</t>
  </si>
  <si>
    <r>
      <t xml:space="preserve">         </t>
    </r>
    <r>
      <rPr>
        <i/>
        <sz val="10"/>
        <rFont val="Arial CE"/>
        <charset val="238"/>
      </rPr>
      <t xml:space="preserve">  rekonstrukce HM</t>
    </r>
  </si>
  <si>
    <t>-</t>
  </si>
  <si>
    <t xml:space="preserve">           DPN hrazená LDN</t>
  </si>
  <si>
    <t xml:space="preserve">           jiné sociální pojištění</t>
  </si>
  <si>
    <t>z toho: použití FI (údržba,invest.)</t>
  </si>
  <si>
    <t>ROZBOR NÁKLADŮ A VÝNOSŮ pro účely finančního plánu LDN k 31.12.2023</t>
  </si>
  <si>
    <t xml:space="preserve">Plnění finančního plánu LDN Praha 6 k 31.12.2023 </t>
  </si>
  <si>
    <t>k 31.12.2023</t>
  </si>
  <si>
    <t>Praha, dne  30.1.2024</t>
  </si>
  <si>
    <t>k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</si>
</sst>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-;[Red]#,##0.00\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name val="Arial CE"/>
      <charset val="238"/>
    </font>
    <font>
      <sz val="9"/>
      <color rgb="FF000000"/>
      <name val="Arial"/>
      <family val="2"/>
      <charset val="238"/>
    </font>
    <font>
      <b/>
      <i/>
      <u/>
      <sz val="15"/>
      <name val="Arial CE"/>
      <charset val="238"/>
    </font>
    <font>
      <b/>
      <i/>
      <sz val="10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i/>
      <sz val="9"/>
      <name val="Arial"/>
      <family val="2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 CE"/>
      <family val="2"/>
      <charset val="238"/>
    </font>
    <font>
      <b/>
      <i/>
      <sz val="12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.5"/>
      <name val="Arial"/>
      <family val="2"/>
    </font>
    <font>
      <sz val="12.5"/>
      <name val="Arial"/>
      <family val="2"/>
    </font>
    <font>
      <sz val="12.5"/>
      <color theme="1"/>
      <name val="Calibri"/>
      <family val="2"/>
      <scheme val="minor"/>
    </font>
    <font>
      <sz val="9"/>
      <name val="Arial CE"/>
      <charset val="238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4D4D4"/>
      </patternFill>
    </fill>
    <fill>
      <patternFill patternType="solid">
        <fgColor rgb="FFC4C4C4"/>
      </patternFill>
    </fill>
    <fill>
      <patternFill patternType="solid">
        <fgColor rgb="FFE4E4E4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2" fontId="0" fillId="0" borderId="0" xfId="0" applyNumberFormat="1" applyAlignme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4" xfId="0" applyBorder="1"/>
    <xf numFmtId="0" fontId="5" fillId="0" borderId="8" xfId="0" applyFont="1" applyBorder="1"/>
    <xf numFmtId="0" fontId="4" fillId="0" borderId="8" xfId="0" applyFont="1" applyBorder="1"/>
    <xf numFmtId="3" fontId="0" fillId="0" borderId="0" xfId="0" applyNumberFormat="1"/>
    <xf numFmtId="0" fontId="5" fillId="0" borderId="9" xfId="0" applyFont="1" applyBorder="1"/>
    <xf numFmtId="4" fontId="0" fillId="0" borderId="0" xfId="0" applyNumberFormat="1" applyAlignment="1"/>
    <xf numFmtId="4" fontId="5" fillId="0" borderId="7" xfId="0" applyNumberFormat="1" applyFont="1" applyBorder="1"/>
    <xf numFmtId="4" fontId="4" fillId="0" borderId="7" xfId="0" applyNumberFormat="1" applyFont="1" applyBorder="1"/>
    <xf numFmtId="4" fontId="5" fillId="0" borderId="10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3" fontId="0" fillId="0" borderId="0" xfId="0" applyNumberFormat="1" applyBorder="1"/>
    <xf numFmtId="4" fontId="7" fillId="0" borderId="7" xfId="0" applyNumberFormat="1" applyFont="1" applyBorder="1"/>
    <xf numFmtId="4" fontId="6" fillId="0" borderId="7" xfId="0" applyNumberFormat="1" applyFont="1" applyBorder="1"/>
    <xf numFmtId="4" fontId="5" fillId="0" borderId="5" xfId="0" applyNumberFormat="1" applyFont="1" applyFill="1" applyBorder="1"/>
    <xf numFmtId="4" fontId="5" fillId="0" borderId="5" xfId="0" applyNumberFormat="1" applyFont="1" applyBorder="1"/>
    <xf numFmtId="4" fontId="4" fillId="0" borderId="5" xfId="0" applyNumberFormat="1" applyFont="1" applyBorder="1"/>
    <xf numFmtId="0" fontId="8" fillId="0" borderId="0" xfId="0" applyFont="1"/>
    <xf numFmtId="0" fontId="9" fillId="0" borderId="4" xfId="0" applyFont="1" applyBorder="1"/>
    <xf numFmtId="0" fontId="4" fillId="0" borderId="6" xfId="0" applyFont="1" applyBorder="1"/>
    <xf numFmtId="4" fontId="4" fillId="0" borderId="13" xfId="0" applyNumberFormat="1" applyFont="1" applyBorder="1"/>
    <xf numFmtId="0" fontId="4" fillId="0" borderId="11" xfId="0" applyFont="1" applyBorder="1"/>
    <xf numFmtId="0" fontId="10" fillId="0" borderId="0" xfId="0" applyFont="1"/>
    <xf numFmtId="164" fontId="11" fillId="6" borderId="19" xfId="0" applyNumberFormat="1" applyFont="1" applyFill="1" applyBorder="1" applyAlignment="1">
      <alignment horizontal="right"/>
    </xf>
    <xf numFmtId="164" fontId="11" fillId="5" borderId="21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6" fillId="0" borderId="15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horizontal="left" vertical="top"/>
    </xf>
    <xf numFmtId="2" fontId="15" fillId="0" borderId="0" xfId="0" applyNumberFormat="1" applyFont="1" applyAlignment="1">
      <alignment horizontal="left" vertical="top"/>
    </xf>
    <xf numFmtId="0" fontId="16" fillId="0" borderId="0" xfId="0" applyFont="1"/>
    <xf numFmtId="2" fontId="17" fillId="0" borderId="2" xfId="0" applyNumberFormat="1" applyFont="1" applyBorder="1" applyAlignment="1">
      <alignment horizontal="left" vertical="top"/>
    </xf>
    <xf numFmtId="4" fontId="17" fillId="0" borderId="2" xfId="0" applyNumberFormat="1" applyFont="1" applyBorder="1" applyAlignment="1">
      <alignment horizontal="left" vertical="top"/>
    </xf>
    <xf numFmtId="2" fontId="18" fillId="0" borderId="2" xfId="0" applyNumberFormat="1" applyFont="1" applyFill="1" applyBorder="1" applyAlignment="1">
      <alignment horizontal="left" vertical="top"/>
    </xf>
    <xf numFmtId="4" fontId="18" fillId="0" borderId="2" xfId="0" applyNumberFormat="1" applyFont="1" applyFill="1" applyBorder="1" applyAlignment="1">
      <alignment horizontal="right" vertical="top"/>
    </xf>
    <xf numFmtId="2" fontId="18" fillId="0" borderId="2" xfId="0" applyNumberFormat="1" applyFont="1" applyFill="1" applyBorder="1" applyAlignment="1">
      <alignment horizontal="right" vertical="top"/>
    </xf>
    <xf numFmtId="0" fontId="16" fillId="0" borderId="0" xfId="0" applyFont="1" applyFill="1"/>
    <xf numFmtId="2" fontId="18" fillId="0" borderId="0" xfId="0" applyNumberFormat="1" applyFont="1" applyFill="1" applyAlignment="1">
      <alignment horizontal="left" vertical="top"/>
    </xf>
    <xf numFmtId="4" fontId="18" fillId="0" borderId="0" xfId="0" applyNumberFormat="1" applyFont="1" applyFill="1" applyAlignment="1">
      <alignment horizontal="right" vertical="top"/>
    </xf>
    <xf numFmtId="49" fontId="18" fillId="0" borderId="0" xfId="0" applyNumberFormat="1" applyFont="1" applyFill="1" applyAlignment="1">
      <alignment horizontal="right" vertical="top"/>
    </xf>
    <xf numFmtId="2" fontId="18" fillId="0" borderId="0" xfId="0" applyNumberFormat="1" applyFont="1" applyFill="1" applyAlignment="1">
      <alignment horizontal="right" vertical="top"/>
    </xf>
    <xf numFmtId="2" fontId="14" fillId="0" borderId="3" xfId="0" applyNumberFormat="1" applyFont="1" applyFill="1" applyBorder="1" applyAlignment="1">
      <alignment horizontal="left" vertical="top"/>
    </xf>
    <xf numFmtId="2" fontId="15" fillId="0" borderId="3" xfId="0" applyNumberFormat="1" applyFont="1" applyFill="1" applyBorder="1" applyAlignment="1">
      <alignment horizontal="left" vertical="top"/>
    </xf>
    <xf numFmtId="4" fontId="14" fillId="0" borderId="3" xfId="0" applyNumberFormat="1" applyFont="1" applyFill="1" applyBorder="1" applyAlignment="1">
      <alignment horizontal="right" vertical="top"/>
    </xf>
    <xf numFmtId="164" fontId="11" fillId="0" borderId="20" xfId="0" applyNumberFormat="1" applyFont="1" applyFill="1" applyBorder="1" applyAlignment="1">
      <alignment horizontal="right" vertical="top"/>
    </xf>
    <xf numFmtId="10" fontId="14" fillId="0" borderId="3" xfId="0" applyNumberFormat="1" applyFont="1" applyFill="1" applyBorder="1" applyAlignment="1">
      <alignment horizontal="right"/>
    </xf>
    <xf numFmtId="164" fontId="11" fillId="0" borderId="19" xfId="0" applyNumberFormat="1" applyFont="1" applyFill="1" applyBorder="1" applyAlignment="1">
      <alignment horizontal="right" vertical="top"/>
    </xf>
    <xf numFmtId="2" fontId="15" fillId="2" borderId="3" xfId="0" applyNumberFormat="1" applyFont="1" applyFill="1" applyBorder="1" applyAlignment="1">
      <alignment horizontal="left" vertical="top"/>
    </xf>
    <xf numFmtId="2" fontId="14" fillId="2" borderId="3" xfId="0" applyNumberFormat="1" applyFont="1" applyFill="1" applyBorder="1" applyAlignment="1">
      <alignment horizontal="left" vertical="top"/>
    </xf>
    <xf numFmtId="164" fontId="11" fillId="5" borderId="19" xfId="0" applyNumberFormat="1" applyFont="1" applyFill="1" applyBorder="1" applyAlignment="1">
      <alignment horizontal="right" vertical="top"/>
    </xf>
    <xf numFmtId="10" fontId="14" fillId="2" borderId="3" xfId="0" applyNumberFormat="1" applyFont="1" applyFill="1" applyBorder="1" applyAlignment="1">
      <alignment horizontal="right"/>
    </xf>
    <xf numFmtId="164" fontId="11" fillId="6" borderId="19" xfId="0" applyNumberFormat="1" applyFont="1" applyFill="1" applyBorder="1" applyAlignment="1">
      <alignment horizontal="right" vertical="top"/>
    </xf>
    <xf numFmtId="2" fontId="15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164" fontId="11" fillId="5" borderId="22" xfId="0" applyNumberFormat="1" applyFont="1" applyFill="1" applyBorder="1" applyAlignment="1">
      <alignment horizontal="right" vertical="top"/>
    </xf>
    <xf numFmtId="10" fontId="14" fillId="3" borderId="1" xfId="0" applyNumberFormat="1" applyFont="1" applyFill="1" applyBorder="1" applyAlignment="1">
      <alignment horizontal="right"/>
    </xf>
    <xf numFmtId="49" fontId="11" fillId="0" borderId="23" xfId="0" applyNumberFormat="1" applyFont="1" applyFill="1" applyBorder="1" applyAlignment="1">
      <alignment horizontal="left" vertical="top"/>
    </xf>
    <xf numFmtId="164" fontId="11" fillId="0" borderId="23" xfId="0" applyNumberFormat="1" applyFont="1" applyFill="1" applyBorder="1" applyAlignment="1">
      <alignment horizontal="right" vertical="top"/>
    </xf>
    <xf numFmtId="49" fontId="19" fillId="9" borderId="19" xfId="0" applyNumberFormat="1" applyFont="1" applyFill="1" applyBorder="1" applyAlignment="1">
      <alignment horizontal="left" vertical="top"/>
    </xf>
    <xf numFmtId="49" fontId="11" fillId="9" borderId="19" xfId="0" applyNumberFormat="1" applyFont="1" applyFill="1" applyBorder="1" applyAlignment="1">
      <alignment horizontal="left" vertical="top"/>
    </xf>
    <xf numFmtId="164" fontId="11" fillId="9" borderId="19" xfId="0" applyNumberFormat="1" applyFont="1" applyFill="1" applyBorder="1" applyAlignment="1">
      <alignment horizontal="right" vertical="top"/>
    </xf>
    <xf numFmtId="10" fontId="14" fillId="9" borderId="3" xfId="0" applyNumberFormat="1" applyFont="1" applyFill="1" applyBorder="1" applyAlignment="1">
      <alignment horizontal="right"/>
    </xf>
    <xf numFmtId="49" fontId="11" fillId="0" borderId="19" xfId="0" applyNumberFormat="1" applyFont="1" applyFill="1" applyBorder="1" applyAlignment="1">
      <alignment horizontal="left" vertical="top"/>
    </xf>
    <xf numFmtId="49" fontId="19" fillId="0" borderId="19" xfId="0" applyNumberFormat="1" applyFont="1" applyFill="1" applyBorder="1" applyAlignment="1">
      <alignment horizontal="left" vertical="top"/>
    </xf>
    <xf numFmtId="49" fontId="19" fillId="4" borderId="19" xfId="0" applyNumberFormat="1" applyFont="1" applyFill="1" applyBorder="1" applyAlignment="1">
      <alignment horizontal="left" vertical="top"/>
    </xf>
    <xf numFmtId="49" fontId="11" fillId="4" borderId="19" xfId="0" applyNumberFormat="1" applyFont="1" applyFill="1" applyBorder="1" applyAlignment="1">
      <alignment horizontal="left" vertical="top"/>
    </xf>
    <xf numFmtId="164" fontId="11" fillId="4" borderId="19" xfId="0" applyNumberFormat="1" applyFont="1" applyFill="1" applyBorder="1" applyAlignment="1">
      <alignment horizontal="right" vertical="top"/>
    </xf>
    <xf numFmtId="10" fontId="14" fillId="8" borderId="3" xfId="0" applyNumberFormat="1" applyFont="1" applyFill="1" applyBorder="1" applyAlignment="1">
      <alignment horizontal="right"/>
    </xf>
    <xf numFmtId="49" fontId="19" fillId="6" borderId="19" xfId="0" applyNumberFormat="1" applyFont="1" applyFill="1" applyBorder="1" applyAlignment="1">
      <alignment horizontal="left" vertical="top"/>
    </xf>
    <xf numFmtId="49" fontId="11" fillId="6" borderId="19" xfId="0" applyNumberFormat="1" applyFont="1" applyFill="1" applyBorder="1" applyAlignment="1">
      <alignment horizontal="left" vertical="top"/>
    </xf>
    <xf numFmtId="49" fontId="19" fillId="5" borderId="21" xfId="0" applyNumberFormat="1" applyFont="1" applyFill="1" applyBorder="1" applyAlignment="1">
      <alignment horizontal="left" vertical="top"/>
    </xf>
    <xf numFmtId="49" fontId="11" fillId="5" borderId="21" xfId="0" applyNumberFormat="1" applyFont="1" applyFill="1" applyBorder="1" applyAlignment="1">
      <alignment horizontal="left" vertical="top"/>
    </xf>
    <xf numFmtId="164" fontId="11" fillId="5" borderId="21" xfId="0" applyNumberFormat="1" applyFont="1" applyFill="1" applyBorder="1" applyAlignment="1">
      <alignment horizontal="right" vertical="top"/>
    </xf>
    <xf numFmtId="10" fontId="14" fillId="3" borderId="26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 vertical="top"/>
    </xf>
    <xf numFmtId="10" fontId="14" fillId="0" borderId="27" xfId="0" applyNumberFormat="1" applyFont="1" applyFill="1" applyBorder="1" applyAlignment="1">
      <alignment horizontal="right"/>
    </xf>
    <xf numFmtId="10" fontId="20" fillId="0" borderId="23" xfId="0" applyNumberFormat="1" applyFont="1" applyFill="1" applyBorder="1" applyAlignment="1">
      <alignment horizontal="right"/>
    </xf>
    <xf numFmtId="10" fontId="20" fillId="6" borderId="19" xfId="0" applyNumberFormat="1" applyFont="1" applyFill="1" applyBorder="1" applyAlignment="1">
      <alignment horizontal="right"/>
    </xf>
    <xf numFmtId="10" fontId="20" fillId="5" borderId="21" xfId="0" applyNumberFormat="1" applyFont="1" applyFill="1" applyBorder="1" applyAlignment="1">
      <alignment horizontal="right"/>
    </xf>
    <xf numFmtId="10" fontId="11" fillId="0" borderId="23" xfId="0" applyNumberFormat="1" applyFont="1" applyFill="1" applyBorder="1" applyAlignment="1">
      <alignment horizontal="right"/>
    </xf>
    <xf numFmtId="10" fontId="11" fillId="6" borderId="19" xfId="0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/>
    </xf>
    <xf numFmtId="10" fontId="11" fillId="0" borderId="20" xfId="0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top"/>
    </xf>
    <xf numFmtId="0" fontId="14" fillId="2" borderId="3" xfId="0" applyFont="1" applyFill="1" applyBorder="1" applyAlignment="1">
      <alignment horizontal="left" vertical="top"/>
    </xf>
    <xf numFmtId="10" fontId="11" fillId="0" borderId="19" xfId="0" applyNumberFormat="1" applyFont="1" applyFill="1" applyBorder="1" applyAlignment="1">
      <alignment horizontal="right"/>
    </xf>
    <xf numFmtId="10" fontId="11" fillId="5" borderId="21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 vertical="top"/>
    </xf>
    <xf numFmtId="2" fontId="15" fillId="3" borderId="0" xfId="0" applyNumberFormat="1" applyFont="1" applyFill="1" applyBorder="1" applyAlignment="1">
      <alignment horizontal="left" vertical="top"/>
    </xf>
    <xf numFmtId="2" fontId="14" fillId="3" borderId="0" xfId="0" applyNumberFormat="1" applyFont="1" applyFill="1" applyBorder="1" applyAlignment="1">
      <alignment horizontal="left" vertical="top"/>
    </xf>
    <xf numFmtId="4" fontId="14" fillId="3" borderId="1" xfId="0" applyNumberFormat="1" applyFont="1" applyFill="1" applyBorder="1" applyAlignment="1">
      <alignment horizontal="right" vertical="top"/>
    </xf>
    <xf numFmtId="10" fontId="14" fillId="3" borderId="0" xfId="0" applyNumberFormat="1" applyFont="1" applyFill="1" applyBorder="1" applyAlignment="1">
      <alignment horizontal="right"/>
    </xf>
    <xf numFmtId="2" fontId="15" fillId="3" borderId="25" xfId="0" applyNumberFormat="1" applyFont="1" applyFill="1" applyBorder="1" applyAlignment="1">
      <alignment horizontal="left" vertical="top"/>
    </xf>
    <xf numFmtId="164" fontId="19" fillId="5" borderId="24" xfId="0" applyNumberFormat="1" applyFont="1" applyFill="1" applyBorder="1" applyAlignment="1">
      <alignment horizontal="right" vertical="top"/>
    </xf>
    <xf numFmtId="10" fontId="15" fillId="3" borderId="25" xfId="0" applyNumberFormat="1" applyFont="1" applyFill="1" applyBorder="1" applyAlignment="1">
      <alignment horizontal="right" vertical="center"/>
    </xf>
    <xf numFmtId="49" fontId="11" fillId="0" borderId="20" xfId="0" applyNumberFormat="1" applyFont="1" applyFill="1" applyBorder="1" applyAlignment="1">
      <alignment horizontal="left" vertical="top"/>
    </xf>
    <xf numFmtId="10" fontId="20" fillId="0" borderId="19" xfId="0" applyNumberFormat="1" applyFont="1" applyFill="1" applyBorder="1" applyAlignment="1">
      <alignment horizontal="right"/>
    </xf>
    <xf numFmtId="49" fontId="19" fillId="5" borderId="24" xfId="0" applyNumberFormat="1" applyFont="1" applyFill="1" applyBorder="1" applyAlignment="1">
      <alignment horizontal="left" vertical="top"/>
    </xf>
    <xf numFmtId="164" fontId="19" fillId="5" borderId="24" xfId="0" applyNumberFormat="1" applyFont="1" applyFill="1" applyBorder="1" applyAlignment="1">
      <alignment horizontal="right" vertical="center"/>
    </xf>
    <xf numFmtId="10" fontId="19" fillId="5" borderId="24" xfId="0" applyNumberFormat="1" applyFont="1" applyFill="1" applyBorder="1" applyAlignment="1">
      <alignment horizontal="right" vertical="center"/>
    </xf>
    <xf numFmtId="49" fontId="19" fillId="7" borderId="24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Alignment="1">
      <alignment horizontal="left" vertical="top"/>
    </xf>
    <xf numFmtId="4" fontId="17" fillId="0" borderId="2" xfId="0" applyNumberFormat="1" applyFont="1" applyFill="1" applyBorder="1" applyAlignment="1">
      <alignment horizontal="left" vertical="top"/>
    </xf>
    <xf numFmtId="4" fontId="0" fillId="0" borderId="0" xfId="0" applyNumberFormat="1" applyFill="1" applyAlignment="1"/>
    <xf numFmtId="49" fontId="21" fillId="0" borderId="20" xfId="0" applyNumberFormat="1" applyFont="1" applyFill="1" applyBorder="1" applyAlignment="1">
      <alignment horizontal="left" vertical="top"/>
    </xf>
    <xf numFmtId="49" fontId="20" fillId="9" borderId="19" xfId="0" applyNumberFormat="1" applyFont="1" applyFill="1" applyBorder="1" applyAlignment="1">
      <alignment horizontal="left" vertical="top"/>
    </xf>
    <xf numFmtId="49" fontId="21" fillId="0" borderId="19" xfId="0" applyNumberFormat="1" applyFont="1" applyFill="1" applyBorder="1" applyAlignment="1">
      <alignment horizontal="left" vertical="top"/>
    </xf>
    <xf numFmtId="49" fontId="20" fillId="4" borderId="19" xfId="0" applyNumberFormat="1" applyFont="1" applyFill="1" applyBorder="1" applyAlignment="1">
      <alignment horizontal="left" vertical="top"/>
    </xf>
    <xf numFmtId="49" fontId="20" fillId="0" borderId="19" xfId="0" applyNumberFormat="1" applyFont="1" applyFill="1" applyBorder="1" applyAlignment="1">
      <alignment horizontal="left" vertical="top"/>
    </xf>
    <xf numFmtId="49" fontId="20" fillId="6" borderId="19" xfId="0" applyNumberFormat="1" applyFont="1" applyFill="1" applyBorder="1" applyAlignment="1">
      <alignment horizontal="left" vertical="top"/>
    </xf>
    <xf numFmtId="49" fontId="20" fillId="5" borderId="21" xfId="0" applyNumberFormat="1" applyFont="1" applyFill="1" applyBorder="1" applyAlignment="1">
      <alignment horizontal="left" vertical="top"/>
    </xf>
    <xf numFmtId="49" fontId="21" fillId="0" borderId="23" xfId="0" applyNumberFormat="1" applyFont="1" applyFill="1" applyBorder="1" applyAlignment="1">
      <alignment horizontal="left" vertical="top"/>
    </xf>
    <xf numFmtId="49" fontId="21" fillId="5" borderId="24" xfId="0" applyNumberFormat="1" applyFont="1" applyFill="1" applyBorder="1" applyAlignment="1">
      <alignment horizontal="left" vertical="top"/>
    </xf>
    <xf numFmtId="2" fontId="22" fillId="0" borderId="0" xfId="0" applyNumberFormat="1" applyFont="1" applyAlignment="1"/>
    <xf numFmtId="4" fontId="4" fillId="0" borderId="28" xfId="0" applyNumberFormat="1" applyFont="1" applyBorder="1"/>
    <xf numFmtId="4" fontId="6" fillId="0" borderId="5" xfId="0" applyNumberFormat="1" applyFont="1" applyBorder="1"/>
    <xf numFmtId="0" fontId="26" fillId="0" borderId="0" xfId="0" applyFont="1" applyAlignment="1">
      <alignment horizontal="left"/>
    </xf>
    <xf numFmtId="2" fontId="27" fillId="0" borderId="0" xfId="0" applyNumberFormat="1" applyFont="1" applyAlignment="1">
      <alignment horizontal="left" vertical="top"/>
    </xf>
    <xf numFmtId="4" fontId="26" fillId="0" borderId="0" xfId="0" applyNumberFormat="1" applyFont="1" applyAlignment="1">
      <alignment horizontal="left" vertical="top"/>
    </xf>
    <xf numFmtId="4" fontId="26" fillId="0" borderId="0" xfId="0" applyNumberFormat="1" applyFont="1" applyFill="1" applyAlignment="1">
      <alignment horizontal="left" vertical="top"/>
    </xf>
    <xf numFmtId="2" fontId="26" fillId="0" borderId="0" xfId="0" applyNumberFormat="1" applyFont="1" applyAlignment="1">
      <alignment horizontal="left" vertical="top"/>
    </xf>
    <xf numFmtId="0" fontId="28" fillId="0" borderId="0" xfId="0" applyFont="1"/>
    <xf numFmtId="0" fontId="29" fillId="0" borderId="0" xfId="0" applyFont="1"/>
    <xf numFmtId="2" fontId="30" fillId="0" borderId="0" xfId="0" applyNumberFormat="1" applyFont="1" applyAlignment="1"/>
    <xf numFmtId="2" fontId="16" fillId="0" borderId="0" xfId="0" applyNumberFormat="1" applyFont="1" applyAlignment="1"/>
    <xf numFmtId="4" fontId="16" fillId="0" borderId="0" xfId="0" applyNumberFormat="1" applyFont="1" applyAlignment="1"/>
    <xf numFmtId="4" fontId="16" fillId="0" borderId="0" xfId="0" applyNumberFormat="1" applyFont="1" applyFill="1" applyAlignment="1"/>
    <xf numFmtId="0" fontId="10" fillId="0" borderId="8" xfId="0" applyFont="1" applyBorder="1"/>
    <xf numFmtId="4" fontId="5" fillId="0" borderId="7" xfId="0" applyNumberFormat="1" applyFont="1" applyBorder="1" applyAlignment="1">
      <alignment horizontal="right"/>
    </xf>
    <xf numFmtId="0" fontId="7" fillId="0" borderId="8" xfId="0" applyFont="1" applyBorder="1"/>
    <xf numFmtId="4" fontId="7" fillId="0" borderId="28" xfId="0" applyNumberFormat="1" applyFont="1" applyBorder="1"/>
    <xf numFmtId="4" fontId="7" fillId="0" borderId="5" xfId="0" applyNumberFormat="1" applyFont="1" applyBorder="1"/>
    <xf numFmtId="4" fontId="7" fillId="0" borderId="7" xfId="0" applyNumberFormat="1" applyFont="1" applyBorder="1" applyAlignment="1">
      <alignment horizontal="right"/>
    </xf>
    <xf numFmtId="0" fontId="4" fillId="0" borderId="9" xfId="0" applyFont="1" applyBorder="1"/>
    <xf numFmtId="4" fontId="4" fillId="0" borderId="10" xfId="0" applyNumberFormat="1" applyFont="1" applyBorder="1"/>
    <xf numFmtId="0" fontId="4" fillId="0" borderId="29" xfId="0" applyFont="1" applyBorder="1"/>
    <xf numFmtId="4" fontId="4" fillId="0" borderId="30" xfId="0" applyNumberFormat="1" applyFont="1" applyBorder="1"/>
    <xf numFmtId="0" fontId="4" fillId="0" borderId="31" xfId="0" applyFont="1" applyBorder="1"/>
    <xf numFmtId="0" fontId="0" fillId="0" borderId="7" xfId="0" applyBorder="1"/>
    <xf numFmtId="3" fontId="0" fillId="0" borderId="7" xfId="0" applyNumberFormat="1" applyBorder="1"/>
    <xf numFmtId="4" fontId="4" fillId="0" borderId="32" xfId="0" applyNumberFormat="1" applyFont="1" applyBorder="1"/>
    <xf numFmtId="4" fontId="13" fillId="0" borderId="10" xfId="0" applyNumberFormat="1" applyFont="1" applyBorder="1"/>
    <xf numFmtId="9" fontId="4" fillId="0" borderId="12" xfId="1" applyFont="1" applyBorder="1"/>
    <xf numFmtId="4" fontId="23" fillId="0" borderId="12" xfId="0" applyNumberFormat="1" applyFont="1" applyBorder="1"/>
    <xf numFmtId="4" fontId="24" fillId="0" borderId="12" xfId="0" applyNumberFormat="1" applyFont="1" applyBorder="1"/>
    <xf numFmtId="4" fontId="6" fillId="0" borderId="12" xfId="0" applyNumberFormat="1" applyFont="1" applyBorder="1"/>
    <xf numFmtId="9" fontId="4" fillId="0" borderId="33" xfId="1" applyFont="1" applyBorder="1"/>
    <xf numFmtId="4" fontId="23" fillId="0" borderId="33" xfId="0" applyNumberFormat="1" applyFont="1" applyBorder="1"/>
    <xf numFmtId="4" fontId="24" fillId="0" borderId="33" xfId="0" applyNumberFormat="1" applyFont="1" applyBorder="1"/>
    <xf numFmtId="0" fontId="25" fillId="0" borderId="33" xfId="0" applyFont="1" applyBorder="1"/>
    <xf numFmtId="4" fontId="4" fillId="0" borderId="34" xfId="0" applyNumberFormat="1" applyFont="1" applyBorder="1"/>
    <xf numFmtId="0" fontId="0" fillId="0" borderId="0" xfId="0" applyFill="1"/>
    <xf numFmtId="4" fontId="3" fillId="0" borderId="0" xfId="0" applyNumberFormat="1" applyFont="1"/>
    <xf numFmtId="0" fontId="31" fillId="0" borderId="0" xfId="0" applyFont="1" applyFill="1"/>
    <xf numFmtId="164" fontId="11" fillId="10" borderId="19" xfId="0" applyNumberFormat="1" applyFont="1" applyFill="1" applyBorder="1" applyAlignment="1">
      <alignment horizontal="right" vertical="top"/>
    </xf>
    <xf numFmtId="0" fontId="12" fillId="0" borderId="0" xfId="0" applyFont="1" applyFill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workbookViewId="0">
      <selection activeCell="G89" sqref="G89"/>
    </sheetView>
  </sheetViews>
  <sheetFormatPr defaultRowHeight="15" x14ac:dyDescent="0.25"/>
  <cols>
    <col min="1" max="1" width="6.140625" style="1" customWidth="1"/>
    <col min="2" max="2" width="6.42578125" style="125" customWidth="1"/>
    <col min="3" max="3" width="28.140625" style="1" customWidth="1"/>
    <col min="4" max="4" width="17.140625" style="11" customWidth="1"/>
    <col min="5" max="5" width="18.7109375" style="115" customWidth="1"/>
    <col min="6" max="6" width="14" style="11" bestFit="1" customWidth="1"/>
    <col min="7" max="7" width="13.7109375" style="1" customWidth="1"/>
  </cols>
  <sheetData>
    <row r="1" spans="1:7" s="133" customFormat="1" ht="17.25" x14ac:dyDescent="0.3">
      <c r="A1" s="128" t="s">
        <v>208</v>
      </c>
      <c r="B1" s="129"/>
      <c r="C1" s="129"/>
      <c r="D1" s="130"/>
      <c r="E1" s="131"/>
      <c r="F1" s="130"/>
      <c r="G1" s="132"/>
    </row>
    <row r="2" spans="1:7" s="41" customFormat="1" ht="17.25" customHeight="1" x14ac:dyDescent="0.2">
      <c r="A2" s="37" t="s">
        <v>0</v>
      </c>
      <c r="B2" s="38"/>
      <c r="C2" s="38"/>
      <c r="D2" s="39"/>
      <c r="E2" s="113"/>
      <c r="F2" s="39"/>
      <c r="G2" s="40"/>
    </row>
    <row r="3" spans="1:7" s="41" customFormat="1" ht="12" x14ac:dyDescent="0.2">
      <c r="A3" s="38"/>
      <c r="B3" s="37" t="s">
        <v>157</v>
      </c>
      <c r="C3" s="38"/>
      <c r="D3" s="39"/>
      <c r="E3" s="113"/>
      <c r="F3" s="39"/>
      <c r="G3" s="40"/>
    </row>
    <row r="4" spans="1:7" s="41" customFormat="1" ht="12" x14ac:dyDescent="0.2">
      <c r="A4" s="38"/>
      <c r="B4" s="37" t="s">
        <v>158</v>
      </c>
      <c r="C4" s="38"/>
      <c r="D4" s="39"/>
      <c r="E4" s="113"/>
      <c r="F4" s="39" t="s">
        <v>186</v>
      </c>
      <c r="G4" s="40"/>
    </row>
    <row r="5" spans="1:7" s="41" customFormat="1" ht="6" customHeight="1" x14ac:dyDescent="0.2">
      <c r="A5" s="42"/>
      <c r="B5" s="42"/>
      <c r="C5" s="42"/>
      <c r="D5" s="43"/>
      <c r="E5" s="114"/>
      <c r="F5" s="43"/>
      <c r="G5" s="42"/>
    </row>
    <row r="6" spans="1:7" s="47" customFormat="1" ht="12" x14ac:dyDescent="0.2">
      <c r="A6" s="44" t="s">
        <v>1</v>
      </c>
      <c r="B6" s="44" t="s">
        <v>2</v>
      </c>
      <c r="C6" s="44" t="s">
        <v>3</v>
      </c>
      <c r="D6" s="45" t="s">
        <v>4</v>
      </c>
      <c r="E6" s="45" t="s">
        <v>181</v>
      </c>
      <c r="F6" s="45" t="s">
        <v>5</v>
      </c>
      <c r="G6" s="46" t="s">
        <v>194</v>
      </c>
    </row>
    <row r="7" spans="1:7" s="47" customFormat="1" ht="12" x14ac:dyDescent="0.2">
      <c r="A7" s="48"/>
      <c r="B7" s="48"/>
      <c r="C7" s="48"/>
      <c r="D7" s="49" t="s">
        <v>6</v>
      </c>
      <c r="E7" s="50">
        <v>2</v>
      </c>
      <c r="F7" s="49" t="s">
        <v>7</v>
      </c>
      <c r="G7" s="51" t="s">
        <v>177</v>
      </c>
    </row>
    <row r="8" spans="1:7" s="47" customFormat="1" ht="12" x14ac:dyDescent="0.2">
      <c r="A8" s="52" t="s">
        <v>8</v>
      </c>
      <c r="B8" s="53" t="s">
        <v>9</v>
      </c>
      <c r="C8" s="52" t="s">
        <v>10</v>
      </c>
      <c r="D8" s="54">
        <v>3388000</v>
      </c>
      <c r="E8" s="54">
        <v>3188000</v>
      </c>
      <c r="F8" s="55">
        <v>2973023.13</v>
      </c>
      <c r="G8" s="56">
        <f>F8/E8</f>
        <v>0.93256685382685067</v>
      </c>
    </row>
    <row r="9" spans="1:7" s="47" customFormat="1" ht="12" x14ac:dyDescent="0.2">
      <c r="A9" s="52" t="s">
        <v>8</v>
      </c>
      <c r="B9" s="53" t="s">
        <v>11</v>
      </c>
      <c r="C9" s="52" t="s">
        <v>12</v>
      </c>
      <c r="D9" s="54">
        <v>2224000</v>
      </c>
      <c r="E9" s="54">
        <v>2224000</v>
      </c>
      <c r="F9" s="57">
        <v>2185437.09</v>
      </c>
      <c r="G9" s="56">
        <f t="shared" ref="G9:G78" si="0">F9/E9</f>
        <v>0.98266056205035968</v>
      </c>
    </row>
    <row r="10" spans="1:7" s="47" customFormat="1" ht="12" x14ac:dyDescent="0.2">
      <c r="A10" s="52" t="s">
        <v>8</v>
      </c>
      <c r="B10" s="53" t="s">
        <v>13</v>
      </c>
      <c r="C10" s="52" t="s">
        <v>14</v>
      </c>
      <c r="D10" s="54">
        <v>1200000</v>
      </c>
      <c r="E10" s="54">
        <v>1650000</v>
      </c>
      <c r="F10" s="57">
        <v>1635937.16</v>
      </c>
      <c r="G10" s="56">
        <f t="shared" si="0"/>
        <v>0.99147706666666657</v>
      </c>
    </row>
    <row r="11" spans="1:7" s="47" customFormat="1" ht="12" x14ac:dyDescent="0.2">
      <c r="A11" s="52" t="s">
        <v>8</v>
      </c>
      <c r="B11" s="53" t="s">
        <v>15</v>
      </c>
      <c r="C11" s="52" t="s">
        <v>16</v>
      </c>
      <c r="D11" s="54">
        <v>40000</v>
      </c>
      <c r="E11" s="54">
        <v>40000</v>
      </c>
      <c r="F11" s="57">
        <v>22518</v>
      </c>
      <c r="G11" s="56">
        <f t="shared" si="0"/>
        <v>0.56294999999999995</v>
      </c>
    </row>
    <row r="12" spans="1:7" s="47" customFormat="1" ht="12" x14ac:dyDescent="0.2">
      <c r="A12" s="52" t="s">
        <v>8</v>
      </c>
      <c r="B12" s="53" t="s">
        <v>17</v>
      </c>
      <c r="C12" s="52" t="s">
        <v>18</v>
      </c>
      <c r="D12" s="54">
        <v>11144000</v>
      </c>
      <c r="E12" s="54">
        <v>10500000</v>
      </c>
      <c r="F12" s="57">
        <v>10494520.09</v>
      </c>
      <c r="G12" s="56">
        <f t="shared" si="0"/>
        <v>0.99947810380952384</v>
      </c>
    </row>
    <row r="13" spans="1:7" s="47" customFormat="1" ht="12" x14ac:dyDescent="0.2">
      <c r="A13" s="52" t="s">
        <v>8</v>
      </c>
      <c r="B13" s="53" t="s">
        <v>19</v>
      </c>
      <c r="C13" s="52" t="s">
        <v>20</v>
      </c>
      <c r="D13" s="54">
        <v>120000</v>
      </c>
      <c r="E13" s="54">
        <v>120000</v>
      </c>
      <c r="F13" s="57">
        <v>82148.22</v>
      </c>
      <c r="G13" s="56">
        <f t="shared" si="0"/>
        <v>0.68456850000000002</v>
      </c>
    </row>
    <row r="14" spans="1:7" s="47" customFormat="1" ht="12" x14ac:dyDescent="0.2">
      <c r="A14" s="52" t="s">
        <v>8</v>
      </c>
      <c r="B14" s="53" t="s">
        <v>21</v>
      </c>
      <c r="C14" s="52" t="s">
        <v>22</v>
      </c>
      <c r="D14" s="54">
        <v>190000</v>
      </c>
      <c r="E14" s="54">
        <v>290000</v>
      </c>
      <c r="F14" s="57">
        <v>289334.84000000003</v>
      </c>
      <c r="G14" s="56">
        <f t="shared" si="0"/>
        <v>0.99770634482758624</v>
      </c>
    </row>
    <row r="15" spans="1:7" s="47" customFormat="1" ht="12" x14ac:dyDescent="0.2">
      <c r="A15" s="52" t="s">
        <v>8</v>
      </c>
      <c r="B15" s="53" t="s">
        <v>23</v>
      </c>
      <c r="C15" s="52" t="s">
        <v>24</v>
      </c>
      <c r="D15" s="54">
        <v>100000</v>
      </c>
      <c r="E15" s="54">
        <v>0</v>
      </c>
      <c r="F15" s="57">
        <v>0</v>
      </c>
      <c r="G15" s="56"/>
    </row>
    <row r="16" spans="1:7" s="47" customFormat="1" ht="12" x14ac:dyDescent="0.2">
      <c r="A16" s="52" t="s">
        <v>8</v>
      </c>
      <c r="B16" s="53" t="s">
        <v>25</v>
      </c>
      <c r="C16" s="52" t="s">
        <v>26</v>
      </c>
      <c r="D16" s="54">
        <v>6000</v>
      </c>
      <c r="E16" s="54">
        <v>6000</v>
      </c>
      <c r="F16" s="57">
        <v>3481</v>
      </c>
      <c r="G16" s="56">
        <f t="shared" si="0"/>
        <v>0.58016666666666672</v>
      </c>
    </row>
    <row r="17" spans="1:7" s="47" customFormat="1" ht="12" x14ac:dyDescent="0.2">
      <c r="A17" s="52" t="s">
        <v>8</v>
      </c>
      <c r="B17" s="53" t="s">
        <v>27</v>
      </c>
      <c r="C17" s="52" t="s">
        <v>28</v>
      </c>
      <c r="D17" s="54">
        <v>1600000</v>
      </c>
      <c r="E17" s="54">
        <v>1600000</v>
      </c>
      <c r="F17" s="57">
        <v>1592980.98</v>
      </c>
      <c r="G17" s="56">
        <f t="shared" si="0"/>
        <v>0.99561311249999995</v>
      </c>
    </row>
    <row r="18" spans="1:7" s="41" customFormat="1" ht="12" x14ac:dyDescent="0.2">
      <c r="A18" s="58" t="s">
        <v>8</v>
      </c>
      <c r="B18" s="59" t="s">
        <v>29</v>
      </c>
      <c r="C18" s="59"/>
      <c r="D18" s="60">
        <f>SUM(D8:D17)</f>
        <v>20012000</v>
      </c>
      <c r="E18" s="60">
        <v>19618000</v>
      </c>
      <c r="F18" s="60">
        <f>SUM(F8:F17)</f>
        <v>19279380.509999998</v>
      </c>
      <c r="G18" s="61">
        <f t="shared" si="0"/>
        <v>0.98273934702823929</v>
      </c>
    </row>
    <row r="19" spans="1:7" s="47" customFormat="1" ht="12" x14ac:dyDescent="0.2">
      <c r="A19" s="52" t="s">
        <v>30</v>
      </c>
      <c r="B19" s="53" t="s">
        <v>9</v>
      </c>
      <c r="C19" s="52" t="s">
        <v>31</v>
      </c>
      <c r="D19" s="54">
        <v>1800000</v>
      </c>
      <c r="E19" s="54">
        <v>1200000</v>
      </c>
      <c r="F19" s="55">
        <v>709141</v>
      </c>
      <c r="G19" s="56">
        <f t="shared" si="0"/>
        <v>0.59095083333333331</v>
      </c>
    </row>
    <row r="20" spans="1:7" s="47" customFormat="1" ht="12" x14ac:dyDescent="0.2">
      <c r="A20" s="52" t="s">
        <v>30</v>
      </c>
      <c r="B20" s="53" t="s">
        <v>32</v>
      </c>
      <c r="C20" s="52" t="s">
        <v>33</v>
      </c>
      <c r="D20" s="54">
        <v>2120000</v>
      </c>
      <c r="E20" s="54">
        <v>1500000</v>
      </c>
      <c r="F20" s="57">
        <v>1147983.18</v>
      </c>
      <c r="G20" s="56">
        <f t="shared" si="0"/>
        <v>0.76532211999999999</v>
      </c>
    </row>
    <row r="21" spans="1:7" s="47" customFormat="1" ht="12" x14ac:dyDescent="0.2">
      <c r="A21" s="52" t="s">
        <v>30</v>
      </c>
      <c r="B21" s="53" t="s">
        <v>17</v>
      </c>
      <c r="C21" s="52" t="s">
        <v>34</v>
      </c>
      <c r="D21" s="54">
        <v>455000</v>
      </c>
      <c r="E21" s="54">
        <v>455000</v>
      </c>
      <c r="F21" s="57">
        <v>397532</v>
      </c>
      <c r="G21" s="56">
        <f t="shared" si="0"/>
        <v>0.87369670329670335</v>
      </c>
    </row>
    <row r="22" spans="1:7" s="41" customFormat="1" ht="12" x14ac:dyDescent="0.2">
      <c r="A22" s="58" t="s">
        <v>30</v>
      </c>
      <c r="B22" s="59" t="s">
        <v>35</v>
      </c>
      <c r="C22" s="59"/>
      <c r="D22" s="62">
        <f t="shared" ref="D22" si="1">SUM(D19:D21)</f>
        <v>4375000</v>
      </c>
      <c r="E22" s="62">
        <v>3155000</v>
      </c>
      <c r="F22" s="62">
        <f>SUM(F19:F21)</f>
        <v>2254656.1799999997</v>
      </c>
      <c r="G22" s="61">
        <f t="shared" si="0"/>
        <v>0.71462953407290009</v>
      </c>
    </row>
    <row r="23" spans="1:7" s="41" customFormat="1" ht="12" x14ac:dyDescent="0.2">
      <c r="A23" s="63" t="s">
        <v>36</v>
      </c>
      <c r="B23" s="64"/>
      <c r="C23" s="64"/>
      <c r="D23" s="65">
        <f t="shared" ref="D23" si="2">D18+D22</f>
        <v>24387000</v>
      </c>
      <c r="E23" s="65">
        <v>22773000</v>
      </c>
      <c r="F23" s="65">
        <f>F18+F22</f>
        <v>21534036.689999998</v>
      </c>
      <c r="G23" s="66">
        <f t="shared" si="0"/>
        <v>0.94559507706494528</v>
      </c>
    </row>
    <row r="24" spans="1:7" s="47" customFormat="1" ht="12" x14ac:dyDescent="0.2">
      <c r="A24" s="107" t="s">
        <v>37</v>
      </c>
      <c r="B24" s="116" t="s">
        <v>38</v>
      </c>
      <c r="C24" s="107" t="s">
        <v>39</v>
      </c>
      <c r="D24" s="55">
        <v>1620000</v>
      </c>
      <c r="E24" s="55">
        <v>2020000</v>
      </c>
      <c r="F24" s="55">
        <v>1844964.57</v>
      </c>
      <c r="G24" s="56">
        <f t="shared" si="0"/>
        <v>0.91334879702970295</v>
      </c>
    </row>
    <row r="25" spans="1:7" s="47" customFormat="1" ht="12" x14ac:dyDescent="0.2">
      <c r="A25" s="107" t="s">
        <v>37</v>
      </c>
      <c r="B25" s="116" t="s">
        <v>107</v>
      </c>
      <c r="C25" s="107" t="s">
        <v>197</v>
      </c>
      <c r="D25" s="55"/>
      <c r="E25" s="55"/>
      <c r="F25" s="55">
        <v>306681.63</v>
      </c>
      <c r="G25" s="56" t="s">
        <v>196</v>
      </c>
    </row>
    <row r="26" spans="1:7" s="47" customFormat="1" ht="12" x14ac:dyDescent="0.2">
      <c r="A26" s="69" t="s">
        <v>37</v>
      </c>
      <c r="B26" s="117" t="s">
        <v>40</v>
      </c>
      <c r="C26" s="70"/>
      <c r="D26" s="71">
        <f>D24</f>
        <v>1620000</v>
      </c>
      <c r="E26" s="71">
        <v>2020000</v>
      </c>
      <c r="F26" s="71">
        <f>SUM(F24:F25)</f>
        <v>2151646.2000000002</v>
      </c>
      <c r="G26" s="72">
        <f t="shared" si="0"/>
        <v>1.0651713861386141</v>
      </c>
    </row>
    <row r="27" spans="1:7" s="47" customFormat="1" ht="12" x14ac:dyDescent="0.2">
      <c r="A27" s="73" t="s">
        <v>41</v>
      </c>
      <c r="B27" s="118" t="s">
        <v>42</v>
      </c>
      <c r="C27" s="73" t="s">
        <v>43</v>
      </c>
      <c r="D27" s="57">
        <v>7000</v>
      </c>
      <c r="E27" s="57">
        <v>20000</v>
      </c>
      <c r="F27" s="54">
        <v>18965</v>
      </c>
      <c r="G27" s="56">
        <f t="shared" si="0"/>
        <v>0.94825000000000004</v>
      </c>
    </row>
    <row r="28" spans="1:7" s="47" customFormat="1" ht="12" x14ac:dyDescent="0.2">
      <c r="A28" s="69" t="s">
        <v>41</v>
      </c>
      <c r="B28" s="117" t="s">
        <v>44</v>
      </c>
      <c r="C28" s="70"/>
      <c r="D28" s="71">
        <f>D27</f>
        <v>7000</v>
      </c>
      <c r="E28" s="71">
        <v>20000</v>
      </c>
      <c r="F28" s="71">
        <v>18965</v>
      </c>
      <c r="G28" s="72">
        <f t="shared" si="0"/>
        <v>0.94825000000000004</v>
      </c>
    </row>
    <row r="29" spans="1:7" s="47" customFormat="1" ht="12" x14ac:dyDescent="0.2">
      <c r="A29" s="73" t="s">
        <v>45</v>
      </c>
      <c r="B29" s="118" t="s">
        <v>42</v>
      </c>
      <c r="C29" s="73" t="s">
        <v>46</v>
      </c>
      <c r="D29" s="57">
        <v>10000</v>
      </c>
      <c r="E29" s="57">
        <v>10000</v>
      </c>
      <c r="F29" s="166">
        <v>6851</v>
      </c>
      <c r="G29" s="56">
        <f t="shared" ref="G29" si="3">F29/E29</f>
        <v>0.68510000000000004</v>
      </c>
    </row>
    <row r="30" spans="1:7" s="47" customFormat="1" ht="12" x14ac:dyDescent="0.2">
      <c r="A30" s="75" t="s">
        <v>45</v>
      </c>
      <c r="B30" s="119" t="s">
        <v>47</v>
      </c>
      <c r="C30" s="76"/>
      <c r="D30" s="77">
        <f>D29</f>
        <v>10000</v>
      </c>
      <c r="E30" s="77">
        <v>10000</v>
      </c>
      <c r="F30" s="77">
        <v>6851</v>
      </c>
      <c r="G30" s="78">
        <f t="shared" si="0"/>
        <v>0.68510000000000004</v>
      </c>
    </row>
    <row r="31" spans="1:7" s="47" customFormat="1" ht="12" x14ac:dyDescent="0.2">
      <c r="A31" s="74" t="s">
        <v>48</v>
      </c>
      <c r="B31" s="120" t="s">
        <v>17</v>
      </c>
      <c r="C31" s="73" t="s">
        <v>182</v>
      </c>
      <c r="D31" s="57">
        <v>144000</v>
      </c>
      <c r="E31" s="57">
        <v>170000</v>
      </c>
      <c r="F31" s="57">
        <v>115381.3</v>
      </c>
      <c r="G31" s="56">
        <f t="shared" si="0"/>
        <v>0.67871352941176477</v>
      </c>
    </row>
    <row r="32" spans="1:7" s="47" customFormat="1" ht="12" x14ac:dyDescent="0.2">
      <c r="A32" s="73" t="s">
        <v>48</v>
      </c>
      <c r="B32" s="118" t="s">
        <v>19</v>
      </c>
      <c r="C32" s="73" t="s">
        <v>172</v>
      </c>
      <c r="D32" s="57">
        <v>300000</v>
      </c>
      <c r="E32" s="57">
        <v>300000</v>
      </c>
      <c r="F32" s="57">
        <v>300000</v>
      </c>
      <c r="G32" s="56">
        <f t="shared" si="0"/>
        <v>1</v>
      </c>
    </row>
    <row r="33" spans="1:8" s="47" customFormat="1" ht="12" x14ac:dyDescent="0.2">
      <c r="A33" s="73" t="s">
        <v>48</v>
      </c>
      <c r="B33" s="118" t="s">
        <v>49</v>
      </c>
      <c r="C33" s="73" t="s">
        <v>50</v>
      </c>
      <c r="D33" s="57">
        <v>698000</v>
      </c>
      <c r="E33" s="57">
        <v>740000</v>
      </c>
      <c r="F33" s="57">
        <v>774302.23</v>
      </c>
      <c r="G33" s="56">
        <f t="shared" si="0"/>
        <v>1.0463543648648648</v>
      </c>
    </row>
    <row r="34" spans="1:8" s="47" customFormat="1" ht="12" x14ac:dyDescent="0.2">
      <c r="A34" s="73" t="s">
        <v>48</v>
      </c>
      <c r="B34" s="118" t="s">
        <v>25</v>
      </c>
      <c r="C34" s="73" t="s">
        <v>51</v>
      </c>
      <c r="D34" s="57">
        <v>2990000</v>
      </c>
      <c r="E34" s="57">
        <v>3340000</v>
      </c>
      <c r="F34" s="57">
        <v>3229647.6</v>
      </c>
      <c r="G34" s="56">
        <f t="shared" si="0"/>
        <v>0.9669603592814372</v>
      </c>
    </row>
    <row r="35" spans="1:8" s="47" customFormat="1" ht="12" x14ac:dyDescent="0.2">
      <c r="A35" s="73" t="s">
        <v>48</v>
      </c>
      <c r="B35" s="118" t="s">
        <v>27</v>
      </c>
      <c r="C35" s="73" t="s">
        <v>52</v>
      </c>
      <c r="D35" s="57">
        <v>1240000</v>
      </c>
      <c r="E35" s="57">
        <v>1240000</v>
      </c>
      <c r="F35" s="57">
        <v>1234200</v>
      </c>
      <c r="G35" s="56">
        <f t="shared" si="0"/>
        <v>0.99532258064516133</v>
      </c>
    </row>
    <row r="36" spans="1:8" s="47" customFormat="1" ht="12" x14ac:dyDescent="0.2">
      <c r="A36" s="73" t="s">
        <v>48</v>
      </c>
      <c r="B36" s="118" t="s">
        <v>53</v>
      </c>
      <c r="C36" s="73" t="s">
        <v>54</v>
      </c>
      <c r="D36" s="57">
        <v>10000</v>
      </c>
      <c r="E36" s="57">
        <v>10000</v>
      </c>
      <c r="F36" s="166">
        <v>5895</v>
      </c>
      <c r="G36" s="56">
        <f t="shared" si="0"/>
        <v>0.58950000000000002</v>
      </c>
    </row>
    <row r="37" spans="1:8" s="47" customFormat="1" ht="12" x14ac:dyDescent="0.2">
      <c r="A37" s="73" t="s">
        <v>48</v>
      </c>
      <c r="B37" s="118" t="s">
        <v>56</v>
      </c>
      <c r="C37" s="73" t="s">
        <v>57</v>
      </c>
      <c r="D37" s="57">
        <v>190000</v>
      </c>
      <c r="E37" s="57">
        <v>190000</v>
      </c>
      <c r="F37" s="57">
        <v>162765.48000000001</v>
      </c>
      <c r="G37" s="56">
        <f t="shared" si="0"/>
        <v>0.85666042105263163</v>
      </c>
    </row>
    <row r="38" spans="1:8" s="47" customFormat="1" ht="12" x14ac:dyDescent="0.2">
      <c r="A38" s="73" t="s">
        <v>48</v>
      </c>
      <c r="B38" s="118" t="s">
        <v>58</v>
      </c>
      <c r="C38" s="73" t="s">
        <v>59</v>
      </c>
      <c r="D38" s="57">
        <v>630000</v>
      </c>
      <c r="E38" s="57">
        <v>630000</v>
      </c>
      <c r="F38" s="57">
        <v>605000</v>
      </c>
      <c r="G38" s="56">
        <f t="shared" si="0"/>
        <v>0.96031746031746035</v>
      </c>
    </row>
    <row r="39" spans="1:8" s="47" customFormat="1" ht="12" x14ac:dyDescent="0.2">
      <c r="A39" s="73" t="s">
        <v>48</v>
      </c>
      <c r="B39" s="118" t="s">
        <v>60</v>
      </c>
      <c r="C39" s="73" t="s">
        <v>61</v>
      </c>
      <c r="D39" s="57">
        <v>125000</v>
      </c>
      <c r="E39" s="57">
        <v>0</v>
      </c>
      <c r="F39" s="57">
        <v>0</v>
      </c>
      <c r="G39" s="56"/>
    </row>
    <row r="40" spans="1:8" s="47" customFormat="1" ht="12" x14ac:dyDescent="0.2">
      <c r="A40" s="73" t="s">
        <v>48</v>
      </c>
      <c r="B40" s="118" t="s">
        <v>62</v>
      </c>
      <c r="C40" s="73" t="s">
        <v>63</v>
      </c>
      <c r="D40" s="57">
        <v>659000</v>
      </c>
      <c r="E40" s="57">
        <v>760000</v>
      </c>
      <c r="F40" s="57">
        <v>717292.61</v>
      </c>
      <c r="G40" s="56">
        <f t="shared" si="0"/>
        <v>0.94380606578947368</v>
      </c>
    </row>
    <row r="41" spans="1:8" s="47" customFormat="1" ht="12" x14ac:dyDescent="0.2">
      <c r="A41" s="73" t="s">
        <v>48</v>
      </c>
      <c r="B41" s="118" t="s">
        <v>64</v>
      </c>
      <c r="C41" s="73" t="s">
        <v>65</v>
      </c>
      <c r="D41" s="57">
        <v>299000</v>
      </c>
      <c r="E41" s="57">
        <v>299000</v>
      </c>
      <c r="F41" s="57">
        <v>269372</v>
      </c>
      <c r="G41" s="56">
        <f t="shared" si="0"/>
        <v>0.90090969899665552</v>
      </c>
    </row>
    <row r="42" spans="1:8" s="47" customFormat="1" ht="12" x14ac:dyDescent="0.2">
      <c r="A42" s="73" t="s">
        <v>48</v>
      </c>
      <c r="B42" s="118" t="s">
        <v>66</v>
      </c>
      <c r="C42" s="73" t="s">
        <v>67</v>
      </c>
      <c r="D42" s="57">
        <v>100000</v>
      </c>
      <c r="E42" s="57">
        <v>100000</v>
      </c>
      <c r="F42" s="57">
        <v>57109.78</v>
      </c>
      <c r="G42" s="56">
        <f t="shared" si="0"/>
        <v>0.57109779999999999</v>
      </c>
    </row>
    <row r="43" spans="1:8" s="47" customFormat="1" ht="12" x14ac:dyDescent="0.2">
      <c r="A43" s="73" t="s">
        <v>48</v>
      </c>
      <c r="B43" s="118" t="s">
        <v>68</v>
      </c>
      <c r="C43" s="73" t="s">
        <v>69</v>
      </c>
      <c r="D43" s="57">
        <v>200000</v>
      </c>
      <c r="E43" s="57">
        <v>200000</v>
      </c>
      <c r="F43" s="57">
        <v>209416.06</v>
      </c>
      <c r="G43" s="56">
        <f t="shared" si="0"/>
        <v>1.0470803</v>
      </c>
    </row>
    <row r="44" spans="1:8" s="47" customFormat="1" ht="12" x14ac:dyDescent="0.2">
      <c r="A44" s="73" t="s">
        <v>48</v>
      </c>
      <c r="B44" s="118" t="s">
        <v>70</v>
      </c>
      <c r="C44" s="73" t="s">
        <v>71</v>
      </c>
      <c r="D44" s="57">
        <v>575000</v>
      </c>
      <c r="E44" s="57">
        <v>770000</v>
      </c>
      <c r="F44" s="57">
        <v>703506.95</v>
      </c>
      <c r="G44" s="56">
        <f t="shared" si="0"/>
        <v>0.91364538961038955</v>
      </c>
    </row>
    <row r="45" spans="1:8" s="47" customFormat="1" ht="12" x14ac:dyDescent="0.2">
      <c r="A45" s="73" t="s">
        <v>48</v>
      </c>
      <c r="B45" s="118" t="s">
        <v>72</v>
      </c>
      <c r="C45" s="73" t="s">
        <v>73</v>
      </c>
      <c r="D45" s="57">
        <v>1977000</v>
      </c>
      <c r="E45" s="57">
        <v>2027000</v>
      </c>
      <c r="F45" s="57">
        <v>1788009.85</v>
      </c>
      <c r="G45" s="56">
        <f t="shared" si="0"/>
        <v>0.88209662062160832</v>
      </c>
    </row>
    <row r="46" spans="1:8" s="47" customFormat="1" ht="12" x14ac:dyDescent="0.2">
      <c r="A46" s="73" t="s">
        <v>48</v>
      </c>
      <c r="B46" s="118" t="s">
        <v>74</v>
      </c>
      <c r="C46" s="73" t="s">
        <v>75</v>
      </c>
      <c r="D46" s="57">
        <v>30000</v>
      </c>
      <c r="E46" s="57">
        <v>20000</v>
      </c>
      <c r="F46" s="57">
        <v>16351</v>
      </c>
      <c r="G46" s="56">
        <f t="shared" si="0"/>
        <v>0.81755</v>
      </c>
    </row>
    <row r="47" spans="1:8" s="41" customFormat="1" ht="12" x14ac:dyDescent="0.2">
      <c r="A47" s="79" t="s">
        <v>48</v>
      </c>
      <c r="B47" s="121" t="s">
        <v>76</v>
      </c>
      <c r="C47" s="80"/>
      <c r="D47" s="62">
        <f>SUM(D31:D46)</f>
        <v>10167000</v>
      </c>
      <c r="E47" s="62">
        <v>10796000</v>
      </c>
      <c r="F47" s="62">
        <f>SUM(F31:F46)</f>
        <v>10188249.860000001</v>
      </c>
      <c r="G47" s="61">
        <f t="shared" si="0"/>
        <v>0.94370598925527982</v>
      </c>
      <c r="H47" s="165"/>
    </row>
    <row r="48" spans="1:8" s="41" customFormat="1" ht="12.75" thickBot="1" x14ac:dyDescent="0.25">
      <c r="A48" s="81" t="s">
        <v>77</v>
      </c>
      <c r="B48" s="122"/>
      <c r="C48" s="82"/>
      <c r="D48" s="83">
        <f>D26+D28+D30+D47</f>
        <v>11804000</v>
      </c>
      <c r="E48" s="83">
        <v>12846000</v>
      </c>
      <c r="F48" s="83">
        <f>F26+F28+F30+F47</f>
        <v>12365712.060000002</v>
      </c>
      <c r="G48" s="84">
        <f t="shared" si="0"/>
        <v>0.96261186828584788</v>
      </c>
    </row>
    <row r="49" spans="1:7" s="47" customFormat="1" ht="12" x14ac:dyDescent="0.2">
      <c r="A49" s="67" t="s">
        <v>78</v>
      </c>
      <c r="B49" s="123" t="s">
        <v>42</v>
      </c>
      <c r="C49" s="67" t="s">
        <v>79</v>
      </c>
      <c r="D49" s="68">
        <v>39500000</v>
      </c>
      <c r="E49" s="68">
        <v>40300000</v>
      </c>
      <c r="F49" s="68">
        <v>40300000</v>
      </c>
      <c r="G49" s="56">
        <f t="shared" si="0"/>
        <v>1</v>
      </c>
    </row>
    <row r="50" spans="1:7" s="47" customFormat="1" ht="12" x14ac:dyDescent="0.2">
      <c r="A50" s="73" t="s">
        <v>78</v>
      </c>
      <c r="B50" s="118" t="s">
        <v>32</v>
      </c>
      <c r="C50" s="73" t="s">
        <v>80</v>
      </c>
      <c r="D50" s="57">
        <v>1300000</v>
      </c>
      <c r="E50" s="57">
        <v>1600000</v>
      </c>
      <c r="F50" s="57">
        <v>1598407</v>
      </c>
      <c r="G50" s="56">
        <f t="shared" si="0"/>
        <v>0.99900437499999994</v>
      </c>
    </row>
    <row r="51" spans="1:7" s="47" customFormat="1" ht="12" x14ac:dyDescent="0.2">
      <c r="A51" s="73" t="s">
        <v>78</v>
      </c>
      <c r="B51" s="118" t="s">
        <v>49</v>
      </c>
      <c r="C51" s="73" t="s">
        <v>81</v>
      </c>
      <c r="D51" s="57">
        <v>170000</v>
      </c>
      <c r="E51" s="57">
        <v>250000</v>
      </c>
      <c r="F51" s="57">
        <v>251593</v>
      </c>
      <c r="G51" s="56">
        <f t="shared" si="0"/>
        <v>1.006372</v>
      </c>
    </row>
    <row r="52" spans="1:7" s="47" customFormat="1" ht="12" x14ac:dyDescent="0.2">
      <c r="A52" s="73" t="s">
        <v>78</v>
      </c>
      <c r="B52" s="118" t="s">
        <v>25</v>
      </c>
      <c r="C52" s="73" t="s">
        <v>178</v>
      </c>
      <c r="D52" s="57">
        <v>0</v>
      </c>
      <c r="E52" s="57">
        <v>0</v>
      </c>
      <c r="F52" s="57">
        <v>0</v>
      </c>
      <c r="G52" s="56"/>
    </row>
    <row r="53" spans="1:7" s="41" customFormat="1" ht="12" x14ac:dyDescent="0.2">
      <c r="A53" s="79" t="s">
        <v>78</v>
      </c>
      <c r="B53" s="121" t="s">
        <v>82</v>
      </c>
      <c r="C53" s="80"/>
      <c r="D53" s="62">
        <f>SUM(D49:D52)</f>
        <v>40970000</v>
      </c>
      <c r="E53" s="62">
        <v>42150000</v>
      </c>
      <c r="F53" s="62">
        <f>SUM(F49:F52)</f>
        <v>42150000</v>
      </c>
      <c r="G53" s="61">
        <f t="shared" si="0"/>
        <v>1</v>
      </c>
    </row>
    <row r="54" spans="1:7" s="47" customFormat="1" ht="12" x14ac:dyDescent="0.2">
      <c r="A54" s="73" t="s">
        <v>83</v>
      </c>
      <c r="B54" s="118" t="s">
        <v>42</v>
      </c>
      <c r="C54" s="73" t="s">
        <v>84</v>
      </c>
      <c r="D54" s="57">
        <v>10250000</v>
      </c>
      <c r="E54" s="57">
        <v>10400000</v>
      </c>
      <c r="F54" s="85">
        <v>10327199</v>
      </c>
      <c r="G54" s="86">
        <f t="shared" si="0"/>
        <v>0.99299990384615389</v>
      </c>
    </row>
    <row r="55" spans="1:7" s="47" customFormat="1" ht="12" x14ac:dyDescent="0.2">
      <c r="A55" s="73" t="s">
        <v>83</v>
      </c>
      <c r="B55" s="118" t="s">
        <v>32</v>
      </c>
      <c r="C55" s="73" t="s">
        <v>85</v>
      </c>
      <c r="D55" s="57">
        <v>3800000</v>
      </c>
      <c r="E55" s="57">
        <v>3850000</v>
      </c>
      <c r="F55" s="85">
        <v>3769221</v>
      </c>
      <c r="G55" s="56">
        <f t="shared" si="0"/>
        <v>0.97901844155844153</v>
      </c>
    </row>
    <row r="56" spans="1:7" s="41" customFormat="1" ht="12" x14ac:dyDescent="0.2">
      <c r="A56" s="79" t="s">
        <v>83</v>
      </c>
      <c r="B56" s="121" t="s">
        <v>86</v>
      </c>
      <c r="C56" s="80"/>
      <c r="D56" s="62">
        <f>SUM(D54:D55)</f>
        <v>14050000</v>
      </c>
      <c r="E56" s="62">
        <v>14250000</v>
      </c>
      <c r="F56" s="62">
        <f>SUM(F54:F55)</f>
        <v>14096420</v>
      </c>
      <c r="G56" s="61">
        <f t="shared" si="0"/>
        <v>0.98922245614035087</v>
      </c>
    </row>
    <row r="57" spans="1:7" s="47" customFormat="1" ht="12" x14ac:dyDescent="0.2">
      <c r="A57" s="73" t="s">
        <v>87</v>
      </c>
      <c r="B57" s="118" t="s">
        <v>32</v>
      </c>
      <c r="C57" s="73" t="s">
        <v>88</v>
      </c>
      <c r="D57" s="57">
        <v>201000</v>
      </c>
      <c r="E57" s="57">
        <v>208000</v>
      </c>
      <c r="F57" s="57">
        <v>176474</v>
      </c>
      <c r="G57" s="56">
        <f t="shared" si="0"/>
        <v>0.84843269230769236</v>
      </c>
    </row>
    <row r="58" spans="1:7" s="41" customFormat="1" ht="12" x14ac:dyDescent="0.2">
      <c r="A58" s="79" t="s">
        <v>87</v>
      </c>
      <c r="B58" s="121" t="s">
        <v>89</v>
      </c>
      <c r="C58" s="80"/>
      <c r="D58" s="62">
        <f t="shared" ref="D58" si="4">D57</f>
        <v>201000</v>
      </c>
      <c r="E58" s="62">
        <v>208000</v>
      </c>
      <c r="F58" s="62">
        <v>176474</v>
      </c>
      <c r="G58" s="61">
        <f t="shared" si="0"/>
        <v>0.84843269230769236</v>
      </c>
    </row>
    <row r="59" spans="1:7" s="47" customFormat="1" ht="12" x14ac:dyDescent="0.2">
      <c r="A59" s="73" t="s">
        <v>90</v>
      </c>
      <c r="B59" s="118" t="s">
        <v>42</v>
      </c>
      <c r="C59" s="73" t="s">
        <v>91</v>
      </c>
      <c r="D59" s="54">
        <v>794000</v>
      </c>
      <c r="E59" s="54">
        <v>811000</v>
      </c>
      <c r="F59" s="57">
        <v>811031.86</v>
      </c>
      <c r="G59" s="56">
        <f t="shared" si="0"/>
        <v>1.0000392848335389</v>
      </c>
    </row>
    <row r="60" spans="1:7" s="47" customFormat="1" ht="12" x14ac:dyDescent="0.2">
      <c r="A60" s="73" t="s">
        <v>90</v>
      </c>
      <c r="B60" s="118" t="s">
        <v>32</v>
      </c>
      <c r="C60" s="73" t="s">
        <v>92</v>
      </c>
      <c r="D60" s="54">
        <v>10000</v>
      </c>
      <c r="E60" s="54">
        <v>10000</v>
      </c>
      <c r="F60" s="57">
        <v>22300</v>
      </c>
      <c r="G60" s="56">
        <f t="shared" si="0"/>
        <v>2.23</v>
      </c>
    </row>
    <row r="61" spans="1:7" s="47" customFormat="1" ht="12" x14ac:dyDescent="0.2">
      <c r="A61" s="73" t="s">
        <v>90</v>
      </c>
      <c r="B61" s="118" t="s">
        <v>17</v>
      </c>
      <c r="C61" s="73" t="s">
        <v>61</v>
      </c>
      <c r="D61" s="54">
        <v>0</v>
      </c>
      <c r="E61" s="54">
        <v>150000</v>
      </c>
      <c r="F61" s="57">
        <v>131100</v>
      </c>
      <c r="G61" s="56">
        <f t="shared" ref="G61" si="5">F61/E61</f>
        <v>0.874</v>
      </c>
    </row>
    <row r="62" spans="1:7" s="47" customFormat="1" ht="12" x14ac:dyDescent="0.2">
      <c r="A62" s="73" t="s">
        <v>90</v>
      </c>
      <c r="B62" s="118" t="s">
        <v>55</v>
      </c>
      <c r="C62" s="73" t="s">
        <v>163</v>
      </c>
      <c r="D62" s="54">
        <v>900000</v>
      </c>
      <c r="E62" s="54">
        <v>600000</v>
      </c>
      <c r="F62" s="57">
        <v>591650.5</v>
      </c>
      <c r="G62" s="56">
        <f t="shared" si="0"/>
        <v>0.98608416666666665</v>
      </c>
    </row>
    <row r="63" spans="1:7" s="47" customFormat="1" ht="12" x14ac:dyDescent="0.2">
      <c r="A63" s="73" t="s">
        <v>90</v>
      </c>
      <c r="B63" s="118" t="s">
        <v>56</v>
      </c>
      <c r="C63" s="73" t="s">
        <v>93</v>
      </c>
      <c r="D63" s="54">
        <v>80000</v>
      </c>
      <c r="E63" s="54">
        <v>140000</v>
      </c>
      <c r="F63" s="57">
        <v>90431.2</v>
      </c>
      <c r="G63" s="56">
        <f t="shared" si="0"/>
        <v>0.64593714285714288</v>
      </c>
    </row>
    <row r="64" spans="1:7" s="41" customFormat="1" ht="12" x14ac:dyDescent="0.2">
      <c r="A64" s="79" t="s">
        <v>90</v>
      </c>
      <c r="B64" s="121" t="s">
        <v>94</v>
      </c>
      <c r="C64" s="80"/>
      <c r="D64" s="62">
        <f t="shared" ref="D64" si="6">SUM(D59:D63)</f>
        <v>1784000</v>
      </c>
      <c r="E64" s="62">
        <v>1711000</v>
      </c>
      <c r="F64" s="62">
        <f>SUM(F59:F63)</f>
        <v>1646513.5599999998</v>
      </c>
      <c r="G64" s="61">
        <f t="shared" si="0"/>
        <v>0.96231067212156618</v>
      </c>
    </row>
    <row r="65" spans="1:7" s="41" customFormat="1" ht="12.75" thickBot="1" x14ac:dyDescent="0.25">
      <c r="A65" s="81" t="s">
        <v>95</v>
      </c>
      <c r="B65" s="122"/>
      <c r="C65" s="82"/>
      <c r="D65" s="83">
        <f>D53+D56+D58+D64</f>
        <v>57005000</v>
      </c>
      <c r="E65" s="83">
        <v>58319000</v>
      </c>
      <c r="F65" s="83">
        <f>F53+F56+F58+F64</f>
        <v>58069407.560000002</v>
      </c>
      <c r="G65" s="66">
        <f t="shared" si="0"/>
        <v>0.99572022085426704</v>
      </c>
    </row>
    <row r="66" spans="1:7" s="47" customFormat="1" ht="12" x14ac:dyDescent="0.2">
      <c r="A66" s="67" t="s">
        <v>173</v>
      </c>
      <c r="B66" s="123" t="s">
        <v>58</v>
      </c>
      <c r="C66" s="67" t="s">
        <v>174</v>
      </c>
      <c r="D66" s="68">
        <v>60000</v>
      </c>
      <c r="E66" s="68">
        <v>60000</v>
      </c>
      <c r="F66" s="85">
        <v>42525</v>
      </c>
      <c r="G66" s="87">
        <f t="shared" si="0"/>
        <v>0.70874999999999999</v>
      </c>
    </row>
    <row r="67" spans="1:7" s="41" customFormat="1" ht="12" x14ac:dyDescent="0.2">
      <c r="A67" s="79" t="s">
        <v>173</v>
      </c>
      <c r="B67" s="121" t="s">
        <v>175</v>
      </c>
      <c r="C67" s="80"/>
      <c r="D67" s="62">
        <f t="shared" ref="D67:D68" si="7">D66</f>
        <v>60000</v>
      </c>
      <c r="E67" s="62">
        <v>60000</v>
      </c>
      <c r="F67" s="62">
        <v>42525</v>
      </c>
      <c r="G67" s="88">
        <f t="shared" si="0"/>
        <v>0.70874999999999999</v>
      </c>
    </row>
    <row r="68" spans="1:7" s="41" customFormat="1" ht="12.75" thickBot="1" x14ac:dyDescent="0.25">
      <c r="A68" s="81" t="s">
        <v>176</v>
      </c>
      <c r="B68" s="122"/>
      <c r="C68" s="82"/>
      <c r="D68" s="83">
        <f t="shared" si="7"/>
        <v>60000</v>
      </c>
      <c r="E68" s="83">
        <v>60000</v>
      </c>
      <c r="F68" s="83">
        <v>42525</v>
      </c>
      <c r="G68" s="89">
        <f t="shared" si="0"/>
        <v>0.70874999999999999</v>
      </c>
    </row>
    <row r="69" spans="1:7" s="47" customFormat="1" ht="12" x14ac:dyDescent="0.2">
      <c r="A69" s="67" t="s">
        <v>183</v>
      </c>
      <c r="B69" s="123" t="s">
        <v>42</v>
      </c>
      <c r="C69" s="67" t="s">
        <v>184</v>
      </c>
      <c r="D69" s="68">
        <v>0</v>
      </c>
      <c r="E69" s="68">
        <v>0</v>
      </c>
      <c r="F69" s="68">
        <v>0</v>
      </c>
      <c r="G69" s="87"/>
    </row>
    <row r="70" spans="1:7" s="41" customFormat="1" ht="12" x14ac:dyDescent="0.2">
      <c r="A70" s="79" t="s">
        <v>183</v>
      </c>
      <c r="B70" s="121" t="s">
        <v>184</v>
      </c>
      <c r="C70" s="80"/>
      <c r="D70" s="62">
        <v>0</v>
      </c>
      <c r="E70" s="62">
        <v>0</v>
      </c>
      <c r="F70" s="62">
        <v>0</v>
      </c>
      <c r="G70" s="88"/>
    </row>
    <row r="71" spans="1:7" s="41" customFormat="1" ht="12.75" thickBot="1" x14ac:dyDescent="0.25">
      <c r="A71" s="81" t="s">
        <v>185</v>
      </c>
      <c r="B71" s="122"/>
      <c r="C71" s="82"/>
      <c r="D71" s="83">
        <v>0</v>
      </c>
      <c r="E71" s="83">
        <v>0</v>
      </c>
      <c r="F71" s="83">
        <v>0</v>
      </c>
      <c r="G71" s="89"/>
    </row>
    <row r="72" spans="1:7" s="47" customFormat="1" ht="12" x14ac:dyDescent="0.2">
      <c r="A72" s="67" t="s">
        <v>96</v>
      </c>
      <c r="B72" s="123" t="s">
        <v>42</v>
      </c>
      <c r="C72" s="67" t="s">
        <v>97</v>
      </c>
      <c r="D72" s="68">
        <v>105000</v>
      </c>
      <c r="E72" s="68">
        <v>105000</v>
      </c>
      <c r="F72" s="68">
        <v>212107</v>
      </c>
      <c r="G72" s="90">
        <f t="shared" si="0"/>
        <v>2.0200666666666667</v>
      </c>
    </row>
    <row r="73" spans="1:7" s="41" customFormat="1" ht="12" x14ac:dyDescent="0.2">
      <c r="A73" s="79" t="s">
        <v>96</v>
      </c>
      <c r="B73" s="121" t="s">
        <v>98</v>
      </c>
      <c r="C73" s="80"/>
      <c r="D73" s="62">
        <v>105000</v>
      </c>
      <c r="E73" s="62">
        <v>105000</v>
      </c>
      <c r="F73" s="62">
        <v>212107</v>
      </c>
      <c r="G73" s="91">
        <f t="shared" si="0"/>
        <v>2.0200666666666667</v>
      </c>
    </row>
    <row r="74" spans="1:7" s="41" customFormat="1" ht="12" x14ac:dyDescent="0.2">
      <c r="A74" s="92" t="s">
        <v>191</v>
      </c>
      <c r="B74" s="93" t="s">
        <v>42</v>
      </c>
      <c r="C74" s="92" t="s">
        <v>192</v>
      </c>
      <c r="D74" s="55">
        <v>0</v>
      </c>
      <c r="E74" s="55">
        <v>0</v>
      </c>
      <c r="F74" s="55">
        <v>0</v>
      </c>
      <c r="G74" s="94"/>
    </row>
    <row r="75" spans="1:7" s="41" customFormat="1" ht="12" x14ac:dyDescent="0.2">
      <c r="A75" s="95" t="s">
        <v>191</v>
      </c>
      <c r="B75" s="96" t="s">
        <v>190</v>
      </c>
      <c r="C75" s="96"/>
      <c r="D75" s="62">
        <v>0</v>
      </c>
      <c r="E75" s="62">
        <v>0</v>
      </c>
      <c r="F75" s="62">
        <v>0</v>
      </c>
      <c r="G75" s="91"/>
    </row>
    <row r="76" spans="1:7" s="47" customFormat="1" ht="12" x14ac:dyDescent="0.2">
      <c r="A76" s="73" t="s">
        <v>99</v>
      </c>
      <c r="B76" s="118" t="s">
        <v>38</v>
      </c>
      <c r="C76" s="73" t="s">
        <v>100</v>
      </c>
      <c r="D76" s="57">
        <v>500000</v>
      </c>
      <c r="E76" s="57">
        <v>2000000</v>
      </c>
      <c r="F76" s="57">
        <v>1822149.67</v>
      </c>
      <c r="G76" s="97">
        <f t="shared" si="0"/>
        <v>0.91107483499999997</v>
      </c>
    </row>
    <row r="77" spans="1:7" s="41" customFormat="1" ht="12" x14ac:dyDescent="0.2">
      <c r="A77" s="79" t="s">
        <v>99</v>
      </c>
      <c r="B77" s="121" t="s">
        <v>101</v>
      </c>
      <c r="C77" s="80"/>
      <c r="D77" s="62">
        <f>D76</f>
        <v>500000</v>
      </c>
      <c r="E77" s="62">
        <v>2000000</v>
      </c>
      <c r="F77" s="62">
        <v>1822149.67</v>
      </c>
      <c r="G77" s="91">
        <f t="shared" si="0"/>
        <v>0.91107483499999997</v>
      </c>
    </row>
    <row r="78" spans="1:7" s="41" customFormat="1" ht="12.75" thickBot="1" x14ac:dyDescent="0.25">
      <c r="A78" s="81" t="s">
        <v>102</v>
      </c>
      <c r="B78" s="122"/>
      <c r="C78" s="82"/>
      <c r="D78" s="83">
        <f t="shared" ref="D78" si="8">D73+D77</f>
        <v>605000</v>
      </c>
      <c r="E78" s="83">
        <v>2105000</v>
      </c>
      <c r="F78" s="83">
        <f>F73+F75+F77</f>
        <v>2034256.67</v>
      </c>
      <c r="G78" s="98">
        <f t="shared" si="0"/>
        <v>0.96639271733966747</v>
      </c>
    </row>
    <row r="79" spans="1:7" s="47" customFormat="1" ht="12" x14ac:dyDescent="0.2">
      <c r="A79" s="52" t="s">
        <v>164</v>
      </c>
      <c r="B79" s="53" t="s">
        <v>42</v>
      </c>
      <c r="C79" s="52" t="s">
        <v>165</v>
      </c>
      <c r="D79" s="54">
        <v>1000</v>
      </c>
      <c r="E79" s="54">
        <v>1000</v>
      </c>
      <c r="F79" s="54">
        <v>1140</v>
      </c>
      <c r="G79" s="56">
        <f t="shared" ref="G79:G104" si="9">F79/E79</f>
        <v>1.1399999999999999</v>
      </c>
    </row>
    <row r="80" spans="1:7" s="41" customFormat="1" ht="12" x14ac:dyDescent="0.2">
      <c r="A80" s="58" t="s">
        <v>164</v>
      </c>
      <c r="B80" s="59" t="s">
        <v>166</v>
      </c>
      <c r="C80" s="59"/>
      <c r="D80" s="99">
        <v>1000</v>
      </c>
      <c r="E80" s="99">
        <v>1000</v>
      </c>
      <c r="F80" s="99">
        <v>1140</v>
      </c>
      <c r="G80" s="61">
        <f t="shared" si="9"/>
        <v>1.1399999999999999</v>
      </c>
    </row>
    <row r="81" spans="1:7" s="41" customFormat="1" ht="12.75" thickBot="1" x14ac:dyDescent="0.25">
      <c r="A81" s="100" t="s">
        <v>167</v>
      </c>
      <c r="B81" s="101"/>
      <c r="C81" s="101"/>
      <c r="D81" s="102">
        <v>1000</v>
      </c>
      <c r="E81" s="102">
        <v>1000</v>
      </c>
      <c r="F81" s="102">
        <v>1140</v>
      </c>
      <c r="G81" s="103">
        <f t="shared" si="9"/>
        <v>1.1399999999999999</v>
      </c>
    </row>
    <row r="82" spans="1:7" s="41" customFormat="1" ht="12.75" thickBot="1" x14ac:dyDescent="0.25">
      <c r="A82" s="104" t="s">
        <v>103</v>
      </c>
      <c r="B82" s="104"/>
      <c r="C82" s="104"/>
      <c r="D82" s="105">
        <f>D23+D48+D65+D68+D71+D78+D81</f>
        <v>93862000</v>
      </c>
      <c r="E82" s="105">
        <v>96104000</v>
      </c>
      <c r="F82" s="105">
        <f>F23+F48+F65+F68+F71+F78+F81</f>
        <v>94047077.980000004</v>
      </c>
      <c r="G82" s="106">
        <f t="shared" si="9"/>
        <v>0.97859691563306428</v>
      </c>
    </row>
    <row r="83" spans="1:7" s="47" customFormat="1" ht="12" x14ac:dyDescent="0.2">
      <c r="A83" s="107" t="s">
        <v>104</v>
      </c>
      <c r="B83" s="116" t="s">
        <v>58</v>
      </c>
      <c r="C83" s="107" t="s">
        <v>105</v>
      </c>
      <c r="D83" s="55">
        <v>990000</v>
      </c>
      <c r="E83" s="55">
        <v>930000</v>
      </c>
      <c r="F83" s="55">
        <v>910910</v>
      </c>
      <c r="G83" s="94">
        <f t="shared" si="9"/>
        <v>0.97947311827956984</v>
      </c>
    </row>
    <row r="84" spans="1:7" s="47" customFormat="1" ht="12" x14ac:dyDescent="0.2">
      <c r="A84" s="73" t="s">
        <v>104</v>
      </c>
      <c r="B84" s="118" t="s">
        <v>60</v>
      </c>
      <c r="C84" s="73" t="s">
        <v>106</v>
      </c>
      <c r="D84" s="57">
        <v>350000</v>
      </c>
      <c r="E84" s="57">
        <v>650000</v>
      </c>
      <c r="F84" s="57">
        <v>1093941</v>
      </c>
      <c r="G84" s="108">
        <f t="shared" si="9"/>
        <v>1.6829861538461539</v>
      </c>
    </row>
    <row r="85" spans="1:7" s="47" customFormat="1" ht="12" x14ac:dyDescent="0.2">
      <c r="A85" s="73" t="s">
        <v>104</v>
      </c>
      <c r="B85" s="118" t="s">
        <v>107</v>
      </c>
      <c r="C85" s="73" t="s">
        <v>108</v>
      </c>
      <c r="D85" s="57">
        <v>82500000</v>
      </c>
      <c r="E85" s="57">
        <v>87530000</v>
      </c>
      <c r="F85" s="57">
        <v>88057053.650000006</v>
      </c>
      <c r="G85" s="108">
        <f t="shared" si="9"/>
        <v>1.0060214058037245</v>
      </c>
    </row>
    <row r="86" spans="1:7" s="47" customFormat="1" ht="12" x14ac:dyDescent="0.2">
      <c r="A86" s="73" t="s">
        <v>104</v>
      </c>
      <c r="B86" s="118" t="s">
        <v>109</v>
      </c>
      <c r="C86" s="73" t="s">
        <v>110</v>
      </c>
      <c r="D86" s="57">
        <v>20000</v>
      </c>
      <c r="E86" s="57">
        <v>22000</v>
      </c>
      <c r="F86" s="57">
        <v>24927.09</v>
      </c>
      <c r="G86" s="108">
        <f t="shared" si="9"/>
        <v>1.1330495454545455</v>
      </c>
    </row>
    <row r="87" spans="1:7" s="47" customFormat="1" ht="12" x14ac:dyDescent="0.2">
      <c r="A87" s="73" t="s">
        <v>104</v>
      </c>
      <c r="B87" s="118" t="s">
        <v>111</v>
      </c>
      <c r="C87" s="73" t="s">
        <v>112</v>
      </c>
      <c r="D87" s="57">
        <v>0</v>
      </c>
      <c r="E87" s="57">
        <v>18000</v>
      </c>
      <c r="F87" s="57">
        <v>24535</v>
      </c>
      <c r="G87" s="108">
        <f t="shared" si="9"/>
        <v>1.3630555555555555</v>
      </c>
    </row>
    <row r="88" spans="1:7" s="41" customFormat="1" ht="12" x14ac:dyDescent="0.2">
      <c r="A88" s="79" t="s">
        <v>104</v>
      </c>
      <c r="B88" s="121" t="s">
        <v>113</v>
      </c>
      <c r="C88" s="80"/>
      <c r="D88" s="62">
        <f t="shared" ref="D88" si="10">SUM(D83:D87)</f>
        <v>83860000</v>
      </c>
      <c r="E88" s="62">
        <v>89150000</v>
      </c>
      <c r="F88" s="62">
        <v>90111366.739999995</v>
      </c>
      <c r="G88" s="88">
        <f t="shared" si="9"/>
        <v>1.0107836987100391</v>
      </c>
    </row>
    <row r="89" spans="1:7" s="41" customFormat="1" ht="12.75" thickBot="1" x14ac:dyDescent="0.25">
      <c r="A89" s="81" t="s">
        <v>114</v>
      </c>
      <c r="B89" s="122"/>
      <c r="C89" s="82"/>
      <c r="D89" s="83">
        <f t="shared" ref="D89" si="11">D88</f>
        <v>83860000</v>
      </c>
      <c r="E89" s="83">
        <v>89150000</v>
      </c>
      <c r="F89" s="83">
        <v>90111366.739999995</v>
      </c>
      <c r="G89" s="89">
        <f t="shared" si="9"/>
        <v>1.0107836987100391</v>
      </c>
    </row>
    <row r="90" spans="1:7" s="47" customFormat="1" ht="12" x14ac:dyDescent="0.2">
      <c r="A90" s="67" t="s">
        <v>115</v>
      </c>
      <c r="B90" s="123" t="s">
        <v>72</v>
      </c>
      <c r="C90" s="67" t="s">
        <v>195</v>
      </c>
      <c r="D90" s="68">
        <v>0</v>
      </c>
      <c r="E90" s="68">
        <v>0</v>
      </c>
      <c r="F90" s="68">
        <v>306681.63</v>
      </c>
      <c r="G90" s="87" t="s">
        <v>196</v>
      </c>
    </row>
    <row r="91" spans="1:7" s="41" customFormat="1" ht="12" x14ac:dyDescent="0.2">
      <c r="A91" s="79" t="s">
        <v>115</v>
      </c>
      <c r="B91" s="121" t="s">
        <v>116</v>
      </c>
      <c r="C91" s="80"/>
      <c r="D91" s="62">
        <v>0</v>
      </c>
      <c r="E91" s="62">
        <v>0</v>
      </c>
      <c r="F91" s="62">
        <v>306681.63</v>
      </c>
      <c r="G91" s="88"/>
    </row>
    <row r="92" spans="1:7" s="47" customFormat="1" ht="12" x14ac:dyDescent="0.2">
      <c r="A92" s="73" t="s">
        <v>168</v>
      </c>
      <c r="B92" s="118" t="s">
        <v>17</v>
      </c>
      <c r="C92" s="73" t="s">
        <v>169</v>
      </c>
      <c r="D92" s="57">
        <v>0</v>
      </c>
      <c r="E92" s="57">
        <v>0</v>
      </c>
      <c r="F92" s="57">
        <v>0</v>
      </c>
      <c r="G92" s="108"/>
    </row>
    <row r="93" spans="1:7" s="41" customFormat="1" ht="12" x14ac:dyDescent="0.2">
      <c r="A93" s="79" t="s">
        <v>168</v>
      </c>
      <c r="B93" s="121" t="s">
        <v>170</v>
      </c>
      <c r="C93" s="80"/>
      <c r="D93" s="62">
        <v>0</v>
      </c>
      <c r="E93" s="62">
        <v>0</v>
      </c>
      <c r="F93" s="62">
        <v>0</v>
      </c>
      <c r="G93" s="88"/>
    </row>
    <row r="94" spans="1:7" s="41" customFormat="1" ht="12.75" thickBot="1" x14ac:dyDescent="0.25">
      <c r="A94" s="81" t="s">
        <v>117</v>
      </c>
      <c r="B94" s="122"/>
      <c r="C94" s="82"/>
      <c r="D94" s="83">
        <v>0</v>
      </c>
      <c r="E94" s="83">
        <v>0</v>
      </c>
      <c r="F94" s="83">
        <f>F91+F93</f>
        <v>306681.63</v>
      </c>
      <c r="G94" s="98"/>
    </row>
    <row r="95" spans="1:7" s="47" customFormat="1" ht="12" x14ac:dyDescent="0.2">
      <c r="A95" s="67" t="s">
        <v>118</v>
      </c>
      <c r="B95" s="123" t="s">
        <v>42</v>
      </c>
      <c r="C95" s="67" t="s">
        <v>119</v>
      </c>
      <c r="D95" s="68">
        <v>2000</v>
      </c>
      <c r="E95" s="68">
        <v>2000</v>
      </c>
      <c r="F95" s="68">
        <v>1528.37</v>
      </c>
      <c r="G95" s="90">
        <f t="shared" ref="G95" si="12">F95/E95</f>
        <v>0.76418499999999989</v>
      </c>
    </row>
    <row r="96" spans="1:7" s="47" customFormat="1" ht="12" x14ac:dyDescent="0.2">
      <c r="A96" s="107" t="s">
        <v>118</v>
      </c>
      <c r="B96" s="116" t="s">
        <v>38</v>
      </c>
      <c r="C96" s="107" t="s">
        <v>193</v>
      </c>
      <c r="D96" s="55">
        <v>0</v>
      </c>
      <c r="E96" s="55">
        <v>200000</v>
      </c>
      <c r="F96" s="55">
        <v>267619.71999999997</v>
      </c>
      <c r="G96" s="94">
        <f t="shared" si="9"/>
        <v>1.3380985999999999</v>
      </c>
    </row>
    <row r="97" spans="1:7" s="41" customFormat="1" ht="12" x14ac:dyDescent="0.2">
      <c r="A97" s="79" t="s">
        <v>118</v>
      </c>
      <c r="B97" s="121" t="s">
        <v>120</v>
      </c>
      <c r="C97" s="80"/>
      <c r="D97" s="62">
        <v>2000</v>
      </c>
      <c r="E97" s="62">
        <v>202000</v>
      </c>
      <c r="F97" s="62">
        <v>269148.09000000003</v>
      </c>
      <c r="G97" s="91">
        <f t="shared" si="9"/>
        <v>1.3324162871287131</v>
      </c>
    </row>
    <row r="98" spans="1:7" s="41" customFormat="1" ht="12.75" thickBot="1" x14ac:dyDescent="0.25">
      <c r="A98" s="81" t="s">
        <v>121</v>
      </c>
      <c r="B98" s="122"/>
      <c r="C98" s="82"/>
      <c r="D98" s="83">
        <v>2000</v>
      </c>
      <c r="E98" s="83">
        <v>202000</v>
      </c>
      <c r="F98" s="83">
        <f>F97</f>
        <v>269148.09000000003</v>
      </c>
      <c r="G98" s="98">
        <f t="shared" si="9"/>
        <v>1.3324162871287131</v>
      </c>
    </row>
    <row r="99" spans="1:7" s="47" customFormat="1" ht="12" x14ac:dyDescent="0.2">
      <c r="A99" s="52" t="s">
        <v>122</v>
      </c>
      <c r="B99" s="53" t="s">
        <v>58</v>
      </c>
      <c r="C99" s="52" t="s">
        <v>171</v>
      </c>
      <c r="D99" s="54">
        <v>0</v>
      </c>
      <c r="E99" s="54">
        <v>0</v>
      </c>
      <c r="F99" s="54">
        <v>0</v>
      </c>
      <c r="G99" s="56"/>
    </row>
    <row r="100" spans="1:7" s="47" customFormat="1" ht="12" x14ac:dyDescent="0.2">
      <c r="A100" s="52" t="s">
        <v>122</v>
      </c>
      <c r="B100" s="53" t="s">
        <v>38</v>
      </c>
      <c r="C100" s="52" t="s">
        <v>123</v>
      </c>
      <c r="D100" s="54">
        <v>10000000</v>
      </c>
      <c r="E100" s="54">
        <v>5863000</v>
      </c>
      <c r="F100" s="54">
        <v>2470881.52</v>
      </c>
      <c r="G100" s="56">
        <f t="shared" si="9"/>
        <v>0.42143638410370116</v>
      </c>
    </row>
    <row r="101" spans="1:7" s="47" customFormat="1" ht="12" x14ac:dyDescent="0.2">
      <c r="A101" s="52" t="s">
        <v>122</v>
      </c>
      <c r="B101" s="53" t="s">
        <v>107</v>
      </c>
      <c r="C101" s="52" t="s">
        <v>124</v>
      </c>
      <c r="D101" s="54">
        <v>0</v>
      </c>
      <c r="E101" s="54">
        <v>889000</v>
      </c>
      <c r="F101" s="54">
        <v>889000</v>
      </c>
      <c r="G101" s="56">
        <f t="shared" si="9"/>
        <v>1</v>
      </c>
    </row>
    <row r="102" spans="1:7" s="41" customFormat="1" ht="12" x14ac:dyDescent="0.2">
      <c r="A102" s="79" t="s">
        <v>122</v>
      </c>
      <c r="B102" s="121" t="s">
        <v>125</v>
      </c>
      <c r="C102" s="80"/>
      <c r="D102" s="29">
        <f t="shared" ref="D102" si="13">SUM(D99:D101)</f>
        <v>10000000</v>
      </c>
      <c r="E102" s="29">
        <v>6752000</v>
      </c>
      <c r="F102" s="29">
        <v>3359881.52</v>
      </c>
      <c r="G102" s="91">
        <f t="shared" si="9"/>
        <v>0.49761278436018958</v>
      </c>
    </row>
    <row r="103" spans="1:7" s="41" customFormat="1" ht="12.75" thickBot="1" x14ac:dyDescent="0.25">
      <c r="A103" s="81" t="s">
        <v>126</v>
      </c>
      <c r="B103" s="122"/>
      <c r="C103" s="82"/>
      <c r="D103" s="30">
        <f t="shared" ref="D103" si="14">D102</f>
        <v>10000000</v>
      </c>
      <c r="E103" s="30">
        <v>6752000</v>
      </c>
      <c r="F103" s="30">
        <v>3359881.52</v>
      </c>
      <c r="G103" s="98">
        <f t="shared" si="9"/>
        <v>0.49761278436018958</v>
      </c>
    </row>
    <row r="104" spans="1:7" s="41" customFormat="1" ht="12.75" thickBot="1" x14ac:dyDescent="0.25">
      <c r="A104" s="109" t="s">
        <v>127</v>
      </c>
      <c r="B104" s="124"/>
      <c r="C104" s="109"/>
      <c r="D104" s="110">
        <f t="shared" ref="D104" si="15">D89+D94+D98+D103</f>
        <v>93862000</v>
      </c>
      <c r="E104" s="110">
        <v>96104000</v>
      </c>
      <c r="F104" s="110">
        <v>94047077.980000004</v>
      </c>
      <c r="G104" s="111">
        <f t="shared" si="9"/>
        <v>0.97859691563306428</v>
      </c>
    </row>
    <row r="105" spans="1:7" s="41" customFormat="1" ht="12.75" thickBot="1" x14ac:dyDescent="0.25">
      <c r="A105" s="109" t="s">
        <v>128</v>
      </c>
      <c r="B105" s="124"/>
      <c r="C105" s="109"/>
      <c r="D105" s="105">
        <v>0</v>
      </c>
      <c r="E105" s="105">
        <v>0</v>
      </c>
      <c r="F105" s="105">
        <f>F104-F82</f>
        <v>0</v>
      </c>
      <c r="G105" s="112"/>
    </row>
    <row r="107" spans="1:7" s="41" customFormat="1" ht="12" x14ac:dyDescent="0.2">
      <c r="A107" s="134" t="s">
        <v>202</v>
      </c>
      <c r="B107" s="135"/>
      <c r="C107" s="136"/>
      <c r="D107" s="137"/>
      <c r="E107" s="138"/>
      <c r="F107" s="137"/>
      <c r="G107" s="136"/>
    </row>
    <row r="108" spans="1:7" s="41" customFormat="1" ht="12" x14ac:dyDescent="0.2">
      <c r="A108" s="134" t="s">
        <v>179</v>
      </c>
      <c r="B108" s="135"/>
      <c r="C108" s="136"/>
      <c r="D108" s="137"/>
      <c r="E108" s="138"/>
      <c r="F108" s="137"/>
      <c r="G108" s="136"/>
    </row>
    <row r="109" spans="1:7" s="41" customFormat="1" ht="12" x14ac:dyDescent="0.2">
      <c r="A109" s="134" t="s">
        <v>211</v>
      </c>
      <c r="B109" s="135"/>
      <c r="C109" s="136"/>
      <c r="D109" s="137"/>
      <c r="E109" s="138"/>
      <c r="F109" s="137"/>
      <c r="G109" s="136"/>
    </row>
  </sheetData>
  <pageMargins left="0.39370078740157483" right="0.39370078740157483" top="0.39370078740157483" bottom="0.39370078740157483" header="0.39370078740157483" footer="0.59055118110236227"/>
  <pageSetup paperSize="9" scale="92" fitToHeight="2" orientation="portrait" r:id="rId1"/>
  <rowBreaks count="2" manualBreakCount="2">
    <brk id="64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85" zoomScaleNormal="85" workbookViewId="0">
      <selection activeCell="H20" sqref="H20"/>
    </sheetView>
  </sheetViews>
  <sheetFormatPr defaultRowHeight="15" x14ac:dyDescent="0.25"/>
  <cols>
    <col min="1" max="1" width="50.85546875" customWidth="1"/>
    <col min="2" max="5" width="12.5703125" customWidth="1"/>
  </cols>
  <sheetData>
    <row r="1" spans="1:7" ht="19.5" x14ac:dyDescent="0.3">
      <c r="A1" s="167" t="s">
        <v>209</v>
      </c>
      <c r="B1" s="167"/>
      <c r="C1" s="167"/>
      <c r="D1" s="167"/>
      <c r="E1" s="167"/>
    </row>
    <row r="2" spans="1:7" ht="15.75" x14ac:dyDescent="0.25">
      <c r="A2" s="2" t="s">
        <v>129</v>
      </c>
      <c r="C2" s="3"/>
      <c r="E2" s="9"/>
    </row>
    <row r="3" spans="1:7" ht="15.75" thickBot="1" x14ac:dyDescent="0.3">
      <c r="B3" s="4"/>
      <c r="C3" s="5"/>
      <c r="D3" s="6"/>
      <c r="E3" s="17"/>
    </row>
    <row r="4" spans="1:7" x14ac:dyDescent="0.25">
      <c r="A4" s="23"/>
      <c r="B4" s="15" t="s">
        <v>187</v>
      </c>
      <c r="C4" s="31" t="s">
        <v>159</v>
      </c>
      <c r="D4" s="32" t="s">
        <v>160</v>
      </c>
      <c r="E4" s="33" t="s">
        <v>159</v>
      </c>
    </row>
    <row r="5" spans="1:7" ht="15.75" thickBot="1" x14ac:dyDescent="0.3">
      <c r="A5" s="24"/>
      <c r="B5" s="16" t="s">
        <v>180</v>
      </c>
      <c r="C5" s="34" t="s">
        <v>210</v>
      </c>
      <c r="D5" s="35" t="s">
        <v>161</v>
      </c>
      <c r="E5" s="36" t="s">
        <v>212</v>
      </c>
    </row>
    <row r="6" spans="1:7" x14ac:dyDescent="0.25">
      <c r="A6" s="25" t="s">
        <v>127</v>
      </c>
      <c r="B6" s="13">
        <f>B7+B8</f>
        <v>89352</v>
      </c>
      <c r="C6" s="13">
        <f>C7+C8</f>
        <v>90687.196460000006</v>
      </c>
      <c r="D6" s="26">
        <f t="shared" ref="D6:D32" si="0">C6/B6*100</f>
        <v>101.4943106589668</v>
      </c>
      <c r="E6" s="13">
        <v>84076.982269999993</v>
      </c>
    </row>
    <row r="7" spans="1:7" x14ac:dyDescent="0.25">
      <c r="A7" s="7" t="s">
        <v>130</v>
      </c>
      <c r="B7" s="21">
        <f>SUM(podrobne!E85:E86)/1000</f>
        <v>87552</v>
      </c>
      <c r="C7" s="21">
        <f>SUM(podrobne!F85:F86)/1000</f>
        <v>88081.980740000014</v>
      </c>
      <c r="D7" s="12">
        <f t="shared" si="0"/>
        <v>100.60533253380851</v>
      </c>
      <c r="E7" s="21">
        <v>82481.077189999996</v>
      </c>
    </row>
    <row r="8" spans="1:7" x14ac:dyDescent="0.25">
      <c r="A8" s="7" t="s">
        <v>131</v>
      </c>
      <c r="B8" s="21">
        <f>(podrobne!E83+podrobne!E84+podrobne!E87+podrobne!E91+podrobne!E93+podrobne!E97)/1000</f>
        <v>1800</v>
      </c>
      <c r="C8" s="21">
        <f>(podrobne!F83+podrobne!F84+podrobne!F87+podrobne!F91+podrobne!F93+podrobne!F97)/1000</f>
        <v>2605.2157199999997</v>
      </c>
      <c r="D8" s="12">
        <f t="shared" si="0"/>
        <v>144.73420666666667</v>
      </c>
      <c r="E8" s="21">
        <v>1595.90508</v>
      </c>
      <c r="F8" s="163"/>
      <c r="G8" s="163"/>
    </row>
    <row r="9" spans="1:7" x14ac:dyDescent="0.25">
      <c r="A9" s="7" t="s">
        <v>132</v>
      </c>
      <c r="B9" s="21">
        <f>podrobne!E90/1000</f>
        <v>0</v>
      </c>
      <c r="C9" s="21">
        <v>0</v>
      </c>
      <c r="D9" s="140" t="s">
        <v>204</v>
      </c>
      <c r="E9" s="21">
        <v>0</v>
      </c>
      <c r="F9" s="163"/>
      <c r="G9" s="163"/>
    </row>
    <row r="10" spans="1:7" x14ac:dyDescent="0.25">
      <c r="A10" s="8" t="s">
        <v>103</v>
      </c>
      <c r="B10" s="22">
        <f>B11+B17+B25+B33+B34</f>
        <v>96104</v>
      </c>
      <c r="C10" s="22">
        <f>C11+C17+C25+C33+C34</f>
        <v>94047.077980000002</v>
      </c>
      <c r="D10" s="19">
        <f t="shared" si="0"/>
        <v>97.859691563306413</v>
      </c>
      <c r="E10" s="22">
        <v>93249.08146999999</v>
      </c>
      <c r="F10" s="163"/>
      <c r="G10" s="163"/>
    </row>
    <row r="11" spans="1:7" x14ac:dyDescent="0.25">
      <c r="A11" s="8" t="s">
        <v>133</v>
      </c>
      <c r="B11" s="22">
        <f>(podrobne!E23+podrobne!E76)/1000</f>
        <v>24773</v>
      </c>
      <c r="C11" s="22">
        <f>(podrobne!F23+podrobne!F76)/1000</f>
        <v>23356.18636</v>
      </c>
      <c r="D11" s="19">
        <f t="shared" si="0"/>
        <v>94.28081524240099</v>
      </c>
      <c r="E11" s="22">
        <v>25019.671509999996</v>
      </c>
      <c r="F11" s="163"/>
      <c r="G11" s="163"/>
    </row>
    <row r="12" spans="1:7" x14ac:dyDescent="0.25">
      <c r="A12" s="7" t="s">
        <v>134</v>
      </c>
      <c r="B12" s="21">
        <f>SUM(podrobne!E14:E17,podrobne!E11:E11)/1000</f>
        <v>1936</v>
      </c>
      <c r="C12" s="21">
        <f>SUM(podrobne!F14:F17,podrobne!F11:F11)/1000</f>
        <v>1908.3148200000001</v>
      </c>
      <c r="D12" s="12">
        <f t="shared" si="0"/>
        <v>98.56998037190084</v>
      </c>
      <c r="E12" s="21">
        <v>1631.7126400000002</v>
      </c>
      <c r="F12" s="163"/>
      <c r="G12" s="163"/>
    </row>
    <row r="13" spans="1:7" x14ac:dyDescent="0.25">
      <c r="A13" s="7" t="s">
        <v>135</v>
      </c>
      <c r="B13" s="21">
        <f>(podrobne!E76+podrobne!E13)/1000</f>
        <v>2120</v>
      </c>
      <c r="C13" s="21">
        <f>(podrobne!F76+podrobne!F13)/1000</f>
        <v>1904.2978899999998</v>
      </c>
      <c r="D13" s="12">
        <f t="shared" si="0"/>
        <v>89.825372169811317</v>
      </c>
      <c r="E13" s="21">
        <v>6828.2436900000002</v>
      </c>
      <c r="F13" s="163"/>
      <c r="G13" s="163"/>
    </row>
    <row r="14" spans="1:7" x14ac:dyDescent="0.25">
      <c r="A14" s="7" t="s">
        <v>136</v>
      </c>
      <c r="B14" s="21">
        <f>podrobne!E12/1000</f>
        <v>10500</v>
      </c>
      <c r="C14" s="21">
        <f>podrobne!F12/1000</f>
        <v>10494.52009</v>
      </c>
      <c r="D14" s="12">
        <f t="shared" si="0"/>
        <v>99.94781038095239</v>
      </c>
      <c r="E14" s="21">
        <v>9313.2055799999998</v>
      </c>
      <c r="F14" s="163"/>
      <c r="G14" s="163"/>
    </row>
    <row r="15" spans="1:7" x14ac:dyDescent="0.25">
      <c r="A15" s="7" t="s">
        <v>188</v>
      </c>
      <c r="B15" s="21">
        <f>SUM(podrobne!E8:E10)/1000</f>
        <v>7062</v>
      </c>
      <c r="C15" s="21">
        <f>SUM(podrobne!F8:F10)/1000</f>
        <v>6794.3973800000003</v>
      </c>
      <c r="D15" s="12">
        <f t="shared" si="0"/>
        <v>96.210668082696131</v>
      </c>
      <c r="E15" s="21">
        <v>5635.9621900000002</v>
      </c>
      <c r="F15" s="163"/>
      <c r="G15" s="163"/>
    </row>
    <row r="16" spans="1:7" x14ac:dyDescent="0.25">
      <c r="A16" s="7" t="s">
        <v>137</v>
      </c>
      <c r="B16" s="21">
        <f>podrobne!E22/1000</f>
        <v>3155</v>
      </c>
      <c r="C16" s="21">
        <f>podrobne!F22/1000</f>
        <v>2254.6561799999995</v>
      </c>
      <c r="D16" s="12">
        <f t="shared" si="0"/>
        <v>71.462953407290001</v>
      </c>
      <c r="E16" s="21">
        <v>1610.5474100000001</v>
      </c>
      <c r="F16" s="163"/>
      <c r="G16" s="163"/>
    </row>
    <row r="17" spans="1:7" x14ac:dyDescent="0.25">
      <c r="A17" s="8" t="s">
        <v>138</v>
      </c>
      <c r="B17" s="22">
        <f>podrobne!E48/1000</f>
        <v>12846</v>
      </c>
      <c r="C17" s="22">
        <f>podrobne!F48/1000</f>
        <v>12365.712060000002</v>
      </c>
      <c r="D17" s="19">
        <f t="shared" si="0"/>
        <v>96.261186828584783</v>
      </c>
      <c r="E17" s="22">
        <v>12232.49094</v>
      </c>
      <c r="F17" s="163"/>
      <c r="G17" s="163"/>
    </row>
    <row r="18" spans="1:7" x14ac:dyDescent="0.25">
      <c r="A18" s="7" t="s">
        <v>139</v>
      </c>
      <c r="B18" s="21">
        <f>SUM(podrobne!E36,podrobne!E37)/1000</f>
        <v>200</v>
      </c>
      <c r="C18" s="20">
        <f>SUM(podrobne!F36,podrobne!F37)/1000</f>
        <v>168.66048000000001</v>
      </c>
      <c r="D18" s="18">
        <f t="shared" si="0"/>
        <v>84.330240000000003</v>
      </c>
      <c r="E18" s="21">
        <v>172.77457999999999</v>
      </c>
      <c r="F18" s="163"/>
      <c r="G18" s="163"/>
    </row>
    <row r="19" spans="1:7" x14ac:dyDescent="0.25">
      <c r="A19" s="7" t="s">
        <v>140</v>
      </c>
      <c r="B19" s="21">
        <f>podrobne!E33/1000</f>
        <v>740</v>
      </c>
      <c r="C19" s="20">
        <f>podrobne!F33/1000</f>
        <v>774.30223000000001</v>
      </c>
      <c r="D19" s="12">
        <f t="shared" si="0"/>
        <v>104.63543648648648</v>
      </c>
      <c r="E19" s="21">
        <v>726.01145999999994</v>
      </c>
      <c r="F19" s="163"/>
      <c r="G19" s="163"/>
    </row>
    <row r="20" spans="1:7" x14ac:dyDescent="0.25">
      <c r="A20" s="7" t="s">
        <v>141</v>
      </c>
      <c r="B20" s="21">
        <f>podrobne!E34/1000</f>
        <v>3340</v>
      </c>
      <c r="C20" s="20">
        <f>podrobne!F34/1000</f>
        <v>3229.6476000000002</v>
      </c>
      <c r="D20" s="12">
        <f t="shared" si="0"/>
        <v>96.696035928143715</v>
      </c>
      <c r="E20" s="21">
        <v>2774.2476000000001</v>
      </c>
      <c r="F20" s="163"/>
      <c r="G20" s="163"/>
    </row>
    <row r="21" spans="1:7" x14ac:dyDescent="0.25">
      <c r="A21" s="7" t="s">
        <v>142</v>
      </c>
      <c r="B21" s="21">
        <f>podrobne!E24/1000</f>
        <v>2020</v>
      </c>
      <c r="C21" s="20">
        <f>podrobne!F24/1000</f>
        <v>1844.9645700000001</v>
      </c>
      <c r="D21" s="12">
        <f t="shared" si="0"/>
        <v>91.334879702970312</v>
      </c>
      <c r="E21" s="21">
        <v>2788.3361099999997</v>
      </c>
      <c r="F21" s="163"/>
      <c r="G21" s="163"/>
    </row>
    <row r="22" spans="1:7" x14ac:dyDescent="0.25">
      <c r="A22" s="7" t="s">
        <v>143</v>
      </c>
      <c r="B22" s="21">
        <f>podrobne!E27/1000</f>
        <v>20</v>
      </c>
      <c r="C22" s="20">
        <f>podrobne!F27/1000</f>
        <v>18.965</v>
      </c>
      <c r="D22" s="12">
        <f t="shared" si="0"/>
        <v>94.825000000000003</v>
      </c>
      <c r="E22" s="21">
        <v>6.6459999999999999</v>
      </c>
      <c r="F22" s="163"/>
      <c r="G22" s="163"/>
    </row>
    <row r="23" spans="1:7" x14ac:dyDescent="0.25">
      <c r="A23" s="7" t="s">
        <v>144</v>
      </c>
      <c r="B23" s="20">
        <f>((podrobne!E47-podrobne!E33-podrobne!E34-podrobne!E37-podrobne!E36)+podrobne!E29)/1000</f>
        <v>6526</v>
      </c>
      <c r="C23" s="20">
        <f>((podrobne!F47-podrobne!F33-podrobne!F34-podrobne!F37-podrobne!F36)+podrobne!F29)/1000</f>
        <v>6022.4905500000004</v>
      </c>
      <c r="D23" s="12">
        <f t="shared" si="0"/>
        <v>92.28456251915415</v>
      </c>
      <c r="E23" s="20">
        <v>5648.0218199999999</v>
      </c>
      <c r="F23" s="163"/>
      <c r="G23" s="163"/>
    </row>
    <row r="24" spans="1:7" x14ac:dyDescent="0.25">
      <c r="A24" s="139" t="s">
        <v>203</v>
      </c>
      <c r="B24" s="20">
        <f>podrobne!E25</f>
        <v>0</v>
      </c>
      <c r="C24" s="20">
        <f>podrobne!F25/1000</f>
        <v>306.68162999999998</v>
      </c>
      <c r="D24" s="140" t="s">
        <v>204</v>
      </c>
      <c r="E24" s="20">
        <v>0</v>
      </c>
      <c r="F24" s="163"/>
      <c r="G24" s="163"/>
    </row>
    <row r="25" spans="1:7" x14ac:dyDescent="0.25">
      <c r="A25" s="8" t="s">
        <v>145</v>
      </c>
      <c r="B25" s="22">
        <f>(podrobne!E65)/1000</f>
        <v>58319</v>
      </c>
      <c r="C25" s="22">
        <f>(podrobne!F65)/1000</f>
        <v>58069.40756</v>
      </c>
      <c r="D25" s="19">
        <f t="shared" si="0"/>
        <v>99.57202208542671</v>
      </c>
      <c r="E25" s="22">
        <v>55679.623020000006</v>
      </c>
      <c r="F25" s="163"/>
      <c r="G25" s="163"/>
    </row>
    <row r="26" spans="1:7" x14ac:dyDescent="0.25">
      <c r="A26" s="7" t="s">
        <v>146</v>
      </c>
      <c r="B26" s="20">
        <f>podrobne!E49/1000</f>
        <v>40300</v>
      </c>
      <c r="C26" s="20">
        <f>podrobne!F49/1000</f>
        <v>40300</v>
      </c>
      <c r="D26" s="18">
        <f t="shared" si="0"/>
        <v>100</v>
      </c>
      <c r="E26" s="21">
        <v>39000</v>
      </c>
      <c r="F26" s="163"/>
      <c r="G26" s="163"/>
    </row>
    <row r="27" spans="1:7" x14ac:dyDescent="0.25">
      <c r="A27" s="7" t="s">
        <v>147</v>
      </c>
      <c r="B27" s="20">
        <f>podrobne!E50/1000</f>
        <v>1600</v>
      </c>
      <c r="C27" s="20">
        <f>podrobne!F50/1000</f>
        <v>1598.4069999999999</v>
      </c>
      <c r="D27" s="12">
        <f t="shared" si="0"/>
        <v>99.900437499999995</v>
      </c>
      <c r="E27" s="21">
        <v>1192.0039999999999</v>
      </c>
      <c r="F27" s="163"/>
      <c r="G27" s="163"/>
    </row>
    <row r="28" spans="1:7" x14ac:dyDescent="0.25">
      <c r="A28" s="7" t="s">
        <v>148</v>
      </c>
      <c r="B28" s="20">
        <f>podrobne!E54/1000</f>
        <v>10400</v>
      </c>
      <c r="C28" s="20">
        <f>podrobne!F54/1000</f>
        <v>10327.199000000001</v>
      </c>
      <c r="D28" s="12">
        <f t="shared" si="0"/>
        <v>99.299990384615384</v>
      </c>
      <c r="E28" s="21">
        <v>9968.8150000000005</v>
      </c>
      <c r="F28" s="163"/>
      <c r="G28" s="163"/>
    </row>
    <row r="29" spans="1:7" x14ac:dyDescent="0.25">
      <c r="A29" s="7" t="s">
        <v>149</v>
      </c>
      <c r="B29" s="20">
        <f>podrobne!E55/1000</f>
        <v>3850</v>
      </c>
      <c r="C29" s="20">
        <f>podrobne!F55/1000</f>
        <v>3769.221</v>
      </c>
      <c r="D29" s="12">
        <f t="shared" si="0"/>
        <v>97.901844155844159</v>
      </c>
      <c r="E29" s="21">
        <v>3617.7179999999998</v>
      </c>
      <c r="F29" s="163"/>
      <c r="G29" s="163"/>
    </row>
    <row r="30" spans="1:7" x14ac:dyDescent="0.25">
      <c r="A30" s="7" t="s">
        <v>205</v>
      </c>
      <c r="B30" s="20">
        <f>(podrobne!E51+podrobne!E52)/1000</f>
        <v>250</v>
      </c>
      <c r="C30" s="20">
        <f>(podrobne!F51+podrobne!F52)/1000</f>
        <v>251.59299999999999</v>
      </c>
      <c r="D30" s="12">
        <f t="shared" si="0"/>
        <v>100.63720000000001</v>
      </c>
      <c r="E30" s="21">
        <v>277.99599999999998</v>
      </c>
      <c r="F30" s="163"/>
      <c r="G30" s="163"/>
    </row>
    <row r="31" spans="1:7" x14ac:dyDescent="0.25">
      <c r="A31" s="7" t="s">
        <v>206</v>
      </c>
      <c r="B31" s="20">
        <f>podrobne!E57/1000</f>
        <v>208</v>
      </c>
      <c r="C31" s="12">
        <f>podrobne!F57/1000</f>
        <v>176.47399999999999</v>
      </c>
      <c r="D31" s="12">
        <f t="shared" si="0"/>
        <v>84.843269230769224</v>
      </c>
      <c r="E31" s="21">
        <v>1510.1022</v>
      </c>
      <c r="F31" s="163"/>
      <c r="G31" s="163"/>
    </row>
    <row r="32" spans="1:7" x14ac:dyDescent="0.25">
      <c r="A32" s="7" t="s">
        <v>150</v>
      </c>
      <c r="B32" s="21">
        <f>podrobne!E64/1000</f>
        <v>1711</v>
      </c>
      <c r="C32" s="21">
        <f>podrobne!F64/1000</f>
        <v>1646.5135599999999</v>
      </c>
      <c r="D32" s="12">
        <f t="shared" si="0"/>
        <v>96.231067212156631</v>
      </c>
      <c r="E32" s="21">
        <v>57.84</v>
      </c>
      <c r="F32" s="163"/>
      <c r="G32" s="163"/>
    </row>
    <row r="33" spans="1:7" x14ac:dyDescent="0.25">
      <c r="A33" s="8" t="s">
        <v>151</v>
      </c>
      <c r="B33" s="22">
        <f>(podrobne!E66+podrobne!E79)/1000</f>
        <v>61</v>
      </c>
      <c r="C33" s="22">
        <f>(podrobne!F66+podrobne!F79)/1000</f>
        <v>43.664999999999999</v>
      </c>
      <c r="D33" s="13">
        <f>C33/B33*100</f>
        <v>71.581967213114751</v>
      </c>
      <c r="E33" s="22">
        <v>171.44200000000001</v>
      </c>
      <c r="F33" s="163"/>
      <c r="G33" s="163"/>
    </row>
    <row r="34" spans="1:7" x14ac:dyDescent="0.25">
      <c r="A34" s="8" t="s">
        <v>152</v>
      </c>
      <c r="B34" s="22">
        <f>podrobne!E72/1000</f>
        <v>105</v>
      </c>
      <c r="C34" s="22">
        <f>podrobne!F72/1000</f>
        <v>212.107</v>
      </c>
      <c r="D34" s="13">
        <f>C34/B34*100</f>
        <v>202.00666666666666</v>
      </c>
      <c r="E34" s="22">
        <v>88.013999999999996</v>
      </c>
      <c r="F34" s="163"/>
      <c r="G34" s="163"/>
    </row>
    <row r="35" spans="1:7" x14ac:dyDescent="0.25">
      <c r="A35" s="7" t="s">
        <v>153</v>
      </c>
      <c r="B35" s="21">
        <v>0</v>
      </c>
      <c r="C35" s="21">
        <v>0</v>
      </c>
      <c r="D35" s="144" t="s">
        <v>204</v>
      </c>
      <c r="E35" s="21">
        <v>0</v>
      </c>
      <c r="F35" s="163"/>
      <c r="G35" s="163"/>
    </row>
    <row r="36" spans="1:7" ht="15.75" thickBot="1" x14ac:dyDescent="0.3">
      <c r="A36" s="10" t="s">
        <v>154</v>
      </c>
      <c r="B36" s="14">
        <f>B34-B35</f>
        <v>105</v>
      </c>
      <c r="C36" s="14">
        <f>C34-C35</f>
        <v>212.107</v>
      </c>
      <c r="D36" s="14">
        <f>C36/B36*100</f>
        <v>202.00666666666666</v>
      </c>
      <c r="E36" s="14">
        <v>88.013999999999996</v>
      </c>
      <c r="F36" s="163"/>
      <c r="G36" s="163"/>
    </row>
    <row r="37" spans="1:7" ht="15.75" thickBot="1" x14ac:dyDescent="0.3">
      <c r="A37" s="147" t="s">
        <v>128</v>
      </c>
      <c r="B37" s="148">
        <f>B6-B10</f>
        <v>-6752</v>
      </c>
      <c r="C37" s="148">
        <f>C6-C10</f>
        <v>-3359.8815199999954</v>
      </c>
      <c r="D37" s="148" t="s">
        <v>179</v>
      </c>
      <c r="E37" s="148">
        <f t="shared" ref="E37" si="1">E6-E10</f>
        <v>-9172.0991999999969</v>
      </c>
      <c r="F37" s="163"/>
      <c r="G37" s="163"/>
    </row>
    <row r="38" spans="1:7" x14ac:dyDescent="0.25">
      <c r="A38" s="27" t="s">
        <v>162</v>
      </c>
      <c r="B38" s="13">
        <f>10000-B43</f>
        <v>8863</v>
      </c>
      <c r="C38" s="13">
        <f>podrobne!F100/1000</f>
        <v>2470.8815199999999</v>
      </c>
      <c r="D38" s="13"/>
      <c r="E38" s="13">
        <v>8363.0992000000006</v>
      </c>
      <c r="F38" s="163"/>
      <c r="G38" s="163"/>
    </row>
    <row r="39" spans="1:7" ht="15.75" thickBot="1" x14ac:dyDescent="0.3">
      <c r="A39" s="145" t="s">
        <v>198</v>
      </c>
      <c r="B39" s="148">
        <f>293+596</f>
        <v>889</v>
      </c>
      <c r="C39" s="146">
        <v>889</v>
      </c>
      <c r="D39" s="146"/>
      <c r="E39" s="146">
        <v>809</v>
      </c>
      <c r="F39" s="163"/>
      <c r="G39" s="163"/>
    </row>
    <row r="40" spans="1:7" x14ac:dyDescent="0.25">
      <c r="A40" s="27" t="s">
        <v>199</v>
      </c>
      <c r="B40" s="13">
        <f>776283/1000</f>
        <v>776.28300000000002</v>
      </c>
      <c r="C40" s="162">
        <f>(776283-7327.68)/1000</f>
        <v>768.95531999999992</v>
      </c>
      <c r="D40" s="162"/>
      <c r="E40" s="162"/>
      <c r="F40" s="163"/>
      <c r="G40" s="163"/>
    </row>
    <row r="41" spans="1:7" x14ac:dyDescent="0.25">
      <c r="A41" s="8" t="s">
        <v>200</v>
      </c>
      <c r="B41" s="126">
        <f>800000/1000</f>
        <v>800</v>
      </c>
      <c r="C41" s="127">
        <f>(800000-309493.37)/1000</f>
        <v>490.50663000000003</v>
      </c>
      <c r="D41" s="22"/>
      <c r="E41" s="127"/>
      <c r="F41" s="163"/>
      <c r="G41" s="163"/>
    </row>
    <row r="42" spans="1:7" x14ac:dyDescent="0.25">
      <c r="A42" s="141" t="s">
        <v>207</v>
      </c>
      <c r="B42" s="142">
        <v>0</v>
      </c>
      <c r="C42" s="143">
        <f>306681.63/1000</f>
        <v>306.68162999999998</v>
      </c>
      <c r="D42" s="143"/>
      <c r="E42" s="143"/>
      <c r="F42" s="163"/>
      <c r="G42" s="163"/>
    </row>
    <row r="43" spans="1:7" ht="15.75" thickBot="1" x14ac:dyDescent="0.3">
      <c r="A43" s="145" t="s">
        <v>201</v>
      </c>
      <c r="B43" s="152">
        <v>1137</v>
      </c>
      <c r="C43" s="153">
        <f>(1137000-6337.08)/1000</f>
        <v>1130.66292</v>
      </c>
      <c r="D43" s="146"/>
      <c r="E43" s="146"/>
      <c r="F43" s="163"/>
      <c r="G43" s="163"/>
    </row>
    <row r="44" spans="1:7" ht="15.75" thickBot="1" x14ac:dyDescent="0.3">
      <c r="A44" s="149" t="s">
        <v>155</v>
      </c>
      <c r="B44" s="13">
        <f>B37+B38+B39</f>
        <v>3000</v>
      </c>
      <c r="C44" s="13">
        <f>C37+C38+C39</f>
        <v>4.5474735088646412E-12</v>
      </c>
      <c r="D44" s="150"/>
      <c r="E44" s="151"/>
    </row>
    <row r="45" spans="1:7" ht="15.75" x14ac:dyDescent="0.25">
      <c r="A45" s="154" t="s">
        <v>156</v>
      </c>
      <c r="B45" s="155"/>
      <c r="C45" s="155"/>
      <c r="D45" s="156"/>
      <c r="E45" s="157">
        <v>57.48</v>
      </c>
    </row>
    <row r="46" spans="1:7" ht="16.5" thickBot="1" x14ac:dyDescent="0.3">
      <c r="A46" s="158" t="s">
        <v>189</v>
      </c>
      <c r="B46" s="159"/>
      <c r="C46" s="159"/>
      <c r="D46" s="160"/>
      <c r="E46" s="161">
        <v>676.7</v>
      </c>
    </row>
    <row r="47" spans="1:7" x14ac:dyDescent="0.25">
      <c r="B47" s="4"/>
      <c r="C47" s="5"/>
      <c r="E47" s="9"/>
    </row>
    <row r="48" spans="1:7" x14ac:dyDescent="0.25">
      <c r="A48" s="28" t="s">
        <v>202</v>
      </c>
      <c r="C48" s="3"/>
      <c r="E48" s="9"/>
    </row>
    <row r="49" spans="1:5" x14ac:dyDescent="0.25">
      <c r="A49" s="28" t="s">
        <v>179</v>
      </c>
      <c r="C49" s="164"/>
      <c r="E49" s="9"/>
    </row>
    <row r="50" spans="1:5" x14ac:dyDescent="0.25">
      <c r="A50" s="28" t="s">
        <v>211</v>
      </c>
      <c r="C50" s="3"/>
      <c r="E50" s="9"/>
    </row>
  </sheetData>
  <mergeCells count="1">
    <mergeCell ref="A1:E1"/>
  </mergeCells>
  <pageMargins left="0.7" right="0.7" top="0.78740157499999996" bottom="0.78740157499999996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podrobne</vt:lpstr>
      <vt:lpstr>návrh EO</vt:lpstr>
      <vt:lpstr>podrobne!Názvy_tisku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Havránková</dc:creator>
  <cp:lastModifiedBy>ldn</cp:lastModifiedBy>
  <cp:lastPrinted>2024-01-30T13:01:00Z</cp:lastPrinted>
  <dcterms:created xsi:type="dcterms:W3CDTF">2020-07-09T12:06:13Z</dcterms:created>
  <dcterms:modified xsi:type="dcterms:W3CDTF">2024-01-31T13:43:48Z</dcterms:modified>
</cp:coreProperties>
</file>