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'List1'!$4:$7</definedName>
  </definedNames>
  <calcPr fullCalcOnLoad="1"/>
</workbook>
</file>

<file path=xl/comments1.xml><?xml version="1.0" encoding="utf-8"?>
<comments xmlns="http://schemas.openxmlformats.org/spreadsheetml/2006/main">
  <authors>
    <author>Kašák Martin Bc.</author>
    <author>Kašák Martin</author>
  </authors>
  <commentList>
    <comment ref="I216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6901</t>
        </r>
      </text>
    </comment>
    <comment ref="M216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6901</t>
        </r>
      </text>
    </comment>
    <comment ref="I150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6127</t>
        </r>
      </text>
    </comment>
    <comment ref="M150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6127</t>
        </r>
      </text>
    </comment>
    <comment ref="I192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6111</t>
        </r>
      </text>
    </comment>
    <comment ref="I193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6111</t>
        </r>
      </text>
    </comment>
    <comment ref="M192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6111</t>
        </r>
      </text>
    </comment>
    <comment ref="M193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6111</t>
        </r>
      </text>
    </comment>
    <comment ref="I151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6127</t>
        </r>
      </text>
    </comment>
    <comment ref="M151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6127</t>
        </r>
      </text>
    </comment>
    <comment ref="I152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6127</t>
        </r>
      </text>
    </comment>
    <comment ref="M152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6127</t>
        </r>
      </text>
    </comment>
    <comment ref="I189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6111</t>
        </r>
      </text>
    </comment>
    <comment ref="M189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6111</t>
        </r>
      </text>
    </comment>
    <comment ref="I191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6111</t>
        </r>
      </text>
    </comment>
    <comment ref="M191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6111</t>
        </r>
      </text>
    </comment>
    <comment ref="I194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6125</t>
        </r>
      </text>
    </comment>
    <comment ref="M194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6125</t>
        </r>
      </text>
    </comment>
    <comment ref="I198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6123</t>
        </r>
      </text>
    </comment>
    <comment ref="M198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6123</t>
        </r>
      </text>
    </comment>
    <comment ref="Q150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6127</t>
        </r>
      </text>
    </comment>
    <comment ref="Q151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6127</t>
        </r>
      </text>
    </comment>
    <comment ref="Q152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6127</t>
        </r>
      </text>
    </comment>
    <comment ref="Q189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6111</t>
        </r>
      </text>
    </comment>
    <comment ref="Q194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6125</t>
        </r>
      </text>
    </comment>
    <comment ref="Q193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6111</t>
        </r>
      </text>
    </comment>
    <comment ref="Q192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6111</t>
        </r>
      </text>
    </comment>
    <comment ref="Q191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6111</t>
        </r>
      </text>
    </comment>
    <comment ref="Q198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6123</t>
        </r>
      </text>
    </comment>
    <comment ref="M195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položka 6111</t>
        </r>
      </text>
    </comment>
    <comment ref="Q195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položka 6111</t>
        </r>
      </text>
    </comment>
    <comment ref="I195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položka 6111</t>
        </r>
      </text>
    </comment>
    <comment ref="I146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položka 6123</t>
        </r>
      </text>
    </comment>
    <comment ref="M146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položka 6123</t>
        </r>
      </text>
    </comment>
    <comment ref="Q146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položka 6123</t>
        </r>
      </text>
    </comment>
    <comment ref="J88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-1.022 tis. Kč RO č. 3
-1.500 tis. Kč RO č. 25
-37,8 tis. Kč RO č. 51
-12.500 tis. Kč RO č. 83
-9.000 tis. Kč RO č. 227
-15.000 tis. Kč RO č. 279
-100 tis. Kč RO č. 284
-174 tis. Kč RO č. 284</t>
        </r>
      </text>
    </comment>
    <comment ref="J94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+22 tis. Kč RO č. 3</t>
        </r>
      </text>
    </comment>
    <comment ref="J76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+1.000 tis. Kč RO č. 3
-64 tis. Kč RO č. 192</t>
        </r>
      </text>
    </comment>
    <comment ref="J73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+4.062,2 tis. Kč RO č.4</t>
        </r>
      </text>
    </comment>
    <comment ref="J9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+2.420 tis. Kč RO č. 17</t>
        </r>
      </text>
    </comment>
    <comment ref="J216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+1.295 tis. Kč RO č. 186
-38 tis. Kč RO č. 224</t>
        </r>
      </text>
    </comment>
    <comment ref="J31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+300 tis. Kč RO č. 19</t>
        </r>
      </text>
    </comment>
    <comment ref="J44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+1.000 tis. Kč RO č. 20
-701,5 tis. Kč RO č. 251</t>
        </r>
      </text>
    </comment>
    <comment ref="J45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+250 tis. Kč RO č. 20</t>
        </r>
      </text>
    </comment>
    <comment ref="J46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+250 tis. Kč RO č. 20</t>
        </r>
      </text>
    </comment>
    <comment ref="J55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+3.600 tis. Kč RO č. 22
-3.437 tis. Kč RO č. 253</t>
        </r>
      </text>
    </comment>
    <comment ref="J86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+1.500 tis. Kč RO č. 25
-5.000 tis. Kč RO č. 280</t>
        </r>
      </text>
    </comment>
    <comment ref="J134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-13 tis. Kč RO č. 31
-10 tis. Kč RO č. 151
-1.500 tis. Kč RO č. 291</t>
        </r>
      </text>
    </comment>
    <comment ref="J168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-1.500 tis. Kč RO č. 34
-1.300 tis. Kč RO č. 35
-1.400 tis. Kč RO č. 36
-4.200 tis. Kč RO č. 65</t>
        </r>
      </text>
    </comment>
    <comment ref="J178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+1.500 tis. Kč RO č. 34
-100 tis. Kč RO č. 302</t>
        </r>
      </text>
    </comment>
    <comment ref="J179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+1.300 tis. Kč RO č. 35-88 tis. Kč RO č. 302</t>
        </r>
      </text>
    </comment>
    <comment ref="J180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+1.400 tis. Kč RO č. 36
-84 tis. Kč RO č. 302</t>
        </r>
      </text>
    </comment>
    <comment ref="J171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-1.200 tis. Kč RO č. 37
-2.500 tis. Kč RO č. 66
-4.000 tis. Kč RO č. 67
-380 tis. Kč RO č. 245
-820 tis. Kč RO č. 307</t>
        </r>
      </text>
    </comment>
    <comment ref="J181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+1.200 tis. Kč RO č. 37
-86 tis. Kč RO č. 302</t>
        </r>
      </text>
    </comment>
    <comment ref="J182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+945 tis. Kč RO č. 38</t>
        </r>
      </text>
    </comment>
    <comment ref="J183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+86 tis. Kč RO č. 39</t>
        </r>
      </text>
    </comment>
    <comment ref="M203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položka 6125</t>
        </r>
      </text>
    </comment>
    <comment ref="Q203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položka 6125</t>
        </r>
      </text>
    </comment>
    <comment ref="M204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položka 6125</t>
        </r>
      </text>
    </comment>
    <comment ref="M205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položka 6125</t>
        </r>
      </text>
    </comment>
    <comment ref="Q204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položka 6125</t>
        </r>
      </text>
    </comment>
    <comment ref="Q205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položka 6125</t>
        </r>
      </text>
    </comment>
    <comment ref="J18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-300 tis. Kč RO č. 46
-20 tis. Kč RO č. 96
-680 tis. Kč RO č. 267</t>
        </r>
      </text>
    </comment>
    <comment ref="J199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+300 tis. Kč RO č. 46</t>
        </r>
      </text>
    </comment>
    <comment ref="J93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+17.000 tis. Kč RO č. 48</t>
        </r>
      </text>
    </comment>
    <comment ref="M81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položka 6351</t>
        </r>
      </text>
    </comment>
    <comment ref="Q81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položka 6351</t>
        </r>
      </text>
    </comment>
    <comment ref="J81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+44 tis. Kč RO č. 50
+45,1 tis. Kč RO č. 255</t>
        </r>
      </text>
    </comment>
    <comment ref="J87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+37,8 tis. Kč RO č. 51</t>
        </r>
      </text>
    </comment>
    <comment ref="J126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-11.500 tis. Kč RO č. 52
-11.000 tis. Kč RO č. 53
-1.500 tis. Kč RO č. 283</t>
        </r>
      </text>
    </comment>
    <comment ref="J99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+4.500 tis. Kč RO č. 52
+2.000 tis. Kč RO č. 227
-10.000 tis. Kč RO č. 280</t>
        </r>
      </text>
    </comment>
    <comment ref="J104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+7.000 tis. Kč RO č. 52</t>
        </r>
      </text>
    </comment>
    <comment ref="J98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+11.000 tis. Kč RO č. 53
+4.000 tis. Kč RO č. 227
-4.000 tis. Kč RO č. 282</t>
        </r>
      </text>
    </comment>
    <comment ref="J125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-10.500 tis. Kč RO č. 54
-500 tis. Kč RO č. 140</t>
        </r>
      </text>
    </comment>
    <comment ref="J96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+8.500 tis. Kč RO č. 54
-900 tis. Kč RO č. 282
-463 tis. Kč RO č. 284</t>
        </r>
      </text>
    </comment>
    <comment ref="J101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+2.000 tis. Kč RO č. 54
-2.600 tis. Kč RO č. 101
-137 tis. Kč RO č. 284</t>
        </r>
      </text>
    </comment>
    <comment ref="J162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-1.700 tis. Kč RO č. 64
-2.300 tis. Kč RO č. 65
-2.000 tis. Kč RO č. 67</t>
        </r>
      </text>
    </comment>
    <comment ref="J184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+1.700 tis. Kč RO č. 64
+500 tis. Kč RO č. 160
+200 tis. Kč RO č. 301</t>
        </r>
      </text>
    </comment>
    <comment ref="J165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+6.500 tis. Kč RO č. 65
-590 tis. Kč RO č. 301
-257 tis. Kč RO č. 302
-1.700 tis. Kč RO č. 305</t>
        </r>
      </text>
    </comment>
    <comment ref="J169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+2.500 tis. Kč RO č. 66
-1.900 tis. Kč RO č. 303</t>
        </r>
      </text>
    </comment>
    <comment ref="J175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-4.500 tis. Kč RO č. 67
-400 tis. Kč RO č. 306</t>
        </r>
      </text>
    </comment>
    <comment ref="J158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+10.500 tis. Kč RO č. 67
-1.000 tis. Kč RO č. 303</t>
        </r>
      </text>
    </comment>
    <comment ref="J203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+200 tis. Kč RO č. 72
-102 tis. Kč RO č. 216</t>
        </r>
      </text>
    </comment>
    <comment ref="J204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+150 tis. Kč RO č. 72
-43 tis. Kč RO č. 216</t>
        </r>
      </text>
    </comment>
    <comment ref="J205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+200 tis. Kč RO č. 72
-51 tis. Kč RO č. 216</t>
        </r>
      </text>
    </comment>
    <comment ref="J39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-650 tis. Kč RO č. 77
-250 tis. Kč RO č. 79 položka 6121
+250 tis. Kč RO č. 79 položka 6122</t>
        </r>
      </text>
    </comment>
    <comment ref="M82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položka 6356</t>
        </r>
      </text>
    </comment>
    <comment ref="Q82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položka 6356</t>
        </r>
      </text>
    </comment>
    <comment ref="M83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položka 6356</t>
        </r>
      </text>
    </comment>
    <comment ref="Q83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položka 6356</t>
        </r>
      </text>
    </comment>
    <comment ref="J75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+900 tis. Kč RO č. 83
-1.300 tis. Kč RO č. 283</t>
        </r>
      </text>
    </comment>
    <comment ref="J106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+4.000 tis. Kč RO č. 83
-700 tis. Kč RO č. 140
</t>
        </r>
      </text>
    </comment>
    <comment ref="J109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+100 tis. Kč RO č. 83</t>
        </r>
      </text>
    </comment>
    <comment ref="J102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+1.700 tis. Kč RO č. 83</t>
        </r>
      </text>
    </comment>
    <comment ref="J111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+300 tis. Kč RO č. 83
+1.500 tis. Kč RO č. 102</t>
        </r>
      </text>
    </comment>
    <comment ref="J116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+5.500 tis. Kč RO č. 83</t>
        </r>
      </text>
    </comment>
    <comment ref="M116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položka 6351
</t>
        </r>
      </text>
    </comment>
    <comment ref="Q116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položka 6351
</t>
        </r>
      </text>
    </comment>
    <comment ref="J112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+15.000 tis. Kč RO č. 84
-15.000 tis. Kč RO č. 281</t>
        </r>
      </text>
    </comment>
    <comment ref="J62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+13.759,7 tis. Kč RO č. 93
</t>
        </r>
        <r>
          <rPr>
            <u val="single"/>
            <sz val="9"/>
            <rFont val="Tahoma"/>
            <family val="2"/>
          </rPr>
          <t>+</t>
        </r>
        <r>
          <rPr>
            <sz val="9"/>
            <rFont val="Tahoma"/>
            <family val="2"/>
          </rPr>
          <t xml:space="preserve"> 244,3 tis. Kč RO č.194 změna položky z 6121 na 6122</t>
        </r>
      </text>
    </comment>
    <comment ref="J133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+1.824,8 tis. Kč RO č. 93</t>
        </r>
      </text>
    </comment>
    <comment ref="J141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+1.116 tis. Kč RO č. 93</t>
        </r>
      </text>
    </comment>
    <comment ref="J137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+2.728,6 tis. Kč RO č. 93</t>
        </r>
      </text>
    </comment>
    <comment ref="J135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+25.705,3 tis. Kč RO č. 93</t>
        </r>
      </text>
    </comment>
    <comment ref="J201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+250 tis. Kč RO č. 93</t>
        </r>
      </text>
    </comment>
    <comment ref="J202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+980 tis. Kč RO č. 93</t>
        </r>
      </text>
    </comment>
    <comment ref="J28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+3.191 tis. Kč RO č. 93</t>
        </r>
      </text>
    </comment>
    <comment ref="J29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+695,8 tis. Kč RO č. 93</t>
        </r>
      </text>
    </comment>
    <comment ref="J32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+748,4 tis. Kč RO č. 93</t>
        </r>
      </text>
    </comment>
    <comment ref="J34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+466,1 tis. Kč RO č. 93</t>
        </r>
      </text>
    </comment>
    <comment ref="J35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+89,3 tis. Kč RO č. 93</t>
        </r>
      </text>
    </comment>
    <comment ref="J58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+38 tis. Kč RO č. 224</t>
        </r>
      </text>
    </comment>
    <comment ref="J206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+492,1 tis. Kč RO č. 167
-492,1 tis. Kč RO č. 217</t>
        </r>
      </text>
    </comment>
    <comment ref="J11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+600 tis. Kč RO č. 95
</t>
        </r>
      </text>
    </comment>
    <comment ref="J152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+20 tis. Kč RO č. 96</t>
        </r>
      </text>
    </comment>
    <comment ref="J20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+405 tis. Kč RO č. 94</t>
        </r>
      </text>
    </comment>
    <comment ref="J21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+900 tis. Kč RO č. 94</t>
        </r>
      </text>
    </comment>
    <comment ref="J56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+70,8 tis. Kč RO č. 97</t>
        </r>
      </text>
    </comment>
    <comment ref="J61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-2.400 tis. Kč RO č. 101
-2.600 tis. Kč RO č. 102</t>
        </r>
      </text>
    </comment>
    <comment ref="J107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+5.000 tis. Kč RO č. 101</t>
        </r>
      </text>
    </comment>
    <comment ref="J67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+8.000 tis. Kč RO č. 105
-313 tis. Kč RO č. 284</t>
        </r>
      </text>
    </comment>
    <comment ref="J70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+400 tis. Kč RO č. 102</t>
        </r>
      </text>
    </comment>
    <comment ref="J89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+7.000 tis. Kč RO č. 104
-17 tis. Kč RO č. 284
-6.983 tis. Kč RO č. 316</t>
        </r>
      </text>
    </comment>
    <comment ref="J95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+300 tis. Kč RO č. 102</t>
        </r>
      </text>
    </comment>
    <comment ref="J108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+200 tis. Kč RO č. 102</t>
        </r>
      </text>
    </comment>
    <comment ref="J114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+2.000 tis. Kč RO č. 105</t>
        </r>
      </text>
    </comment>
    <comment ref="J113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+200 tis. Kč RO č. 102</t>
        </r>
      </text>
    </comment>
    <comment ref="J138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-2.000 tis. Kč Ro č. 111</t>
        </r>
      </text>
    </comment>
    <comment ref="J139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+2.000 tis. Kč RO č. 111
+250 tis. Kč RO č. 178
+200 tis. Kč RO č. 199
-2.450 tis. Kč RO č. 325</t>
        </r>
      </text>
    </comment>
    <comment ref="M199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6119</t>
        </r>
      </text>
    </comment>
    <comment ref="M200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6119</t>
        </r>
      </text>
    </comment>
    <comment ref="Q199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6119</t>
        </r>
      </text>
    </comment>
    <comment ref="Q200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6119</t>
        </r>
      </text>
    </comment>
    <comment ref="I190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6111</t>
        </r>
      </text>
    </comment>
    <comment ref="M190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6111</t>
        </r>
      </text>
    </comment>
    <comment ref="Q190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6111</t>
        </r>
      </text>
    </comment>
    <comment ref="J189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+500 tis. Kč RO č. 125</t>
        </r>
      </text>
    </comment>
    <comment ref="J48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+250 tis. Kč RO č. 130
+55 tis. Kč RO č. 272</t>
        </r>
      </text>
    </comment>
    <comment ref="J27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+3.200 tis. Kč RO č. 129</t>
        </r>
      </text>
    </comment>
    <comment ref="J43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-132,3 tis. Kč RO č. 132</t>
        </r>
      </text>
    </comment>
    <comment ref="J47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+132,3 tis. Kč RO č. 132</t>
        </r>
      </text>
    </comment>
    <comment ref="J63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-1.500 tis. Kč RO č. 140
-1.100 tis. Kč RO č. 283</t>
        </r>
      </text>
    </comment>
    <comment ref="J78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+200 tis. Kč RO č. 140</t>
        </r>
      </text>
    </comment>
    <comment ref="M84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položka 6356</t>
        </r>
      </text>
    </comment>
    <comment ref="Q84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položka 6356</t>
        </r>
      </text>
    </comment>
    <comment ref="M85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položka 6356</t>
        </r>
      </text>
    </comment>
    <comment ref="Q85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položka 6356</t>
        </r>
      </text>
    </comment>
    <comment ref="J84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+222,5 tis. Kč RO č. 138
</t>
        </r>
      </text>
    </comment>
    <comment ref="J85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+178 tis. Kč RO č. 138</t>
        </r>
      </text>
    </comment>
    <comment ref="J82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+450 tis. Kč RO č. 82</t>
        </r>
      </text>
    </comment>
    <comment ref="J83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+360 tis. Kč RO č. 82</t>
        </r>
      </text>
    </comment>
    <comment ref="J105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-500 tis. Kč RO č. 140</t>
        </r>
      </text>
    </comment>
    <comment ref="J110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-1.000 tis. Kč RO č. 140</t>
        </r>
      </text>
    </comment>
    <comment ref="J115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+4.000 tis. Kč RO č. 140
-137 tis. Kč RO č. 284</t>
        </r>
      </text>
    </comment>
    <comment ref="M127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6322</t>
        </r>
      </text>
    </comment>
    <comment ref="Q127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6322</t>
        </r>
      </text>
    </comment>
    <comment ref="Q128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6322</t>
        </r>
      </text>
    </comment>
    <comment ref="M128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6322</t>
        </r>
      </text>
    </comment>
    <comment ref="J127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+500 tis. Kč RO č. 145</t>
        </r>
      </text>
    </comment>
    <comment ref="J128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+350 tis. Kč RO č. 145</t>
        </r>
      </text>
    </comment>
    <comment ref="M144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6351</t>
        </r>
      </text>
    </comment>
    <comment ref="Q144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6351</t>
        </r>
      </text>
    </comment>
    <comment ref="J164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-500 tis. Kč RO č. 160
-1.150 tis. Kč RO č. 161
-2.000 tis. Kč RO č. 179
-200 tis. Kč RO č. 180
-10.150 tis. Kč RO č. 307</t>
        </r>
      </text>
    </comment>
    <comment ref="J172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+1.150 tis. Kč RO č. 161
-1.050 tis. Kč RO č. 305</t>
        </r>
      </text>
    </comment>
    <comment ref="J198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-492,1 tis. Kč RO č. 167</t>
        </r>
      </text>
    </comment>
    <comment ref="I212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6363</t>
        </r>
      </text>
    </comment>
    <comment ref="J212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+1.129 tis. Kč RO č. 170</t>
        </r>
      </text>
    </comment>
    <comment ref="M212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6363</t>
        </r>
      </text>
    </comment>
    <comment ref="I214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6901</t>
        </r>
      </text>
    </comment>
    <comment ref="J214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-2.420 tis. Kč RO č. 17
-300 tis. Kč RO č. 19
-1.500 tis. Kč RO č. 20
-3.600 tis. Kč RO č. 22
-945 tis. Kč RO č. 38
-86 tis. Kč RO č. 39
-550 tis. Kč RO č. 72
-1.305 tis. Kč RO č. 94
-10.000 tis. Kč RO č. 105
-7.000 tis. Kč RO č. 104
-500 tis. Kč RO č. 125
-250 tis. Kč RO č. 130
-850 tis. Kč RO č. 145
-303 tis. Kč RO č. 152
-2.500 tis. kč RO č. 193
-120 tis. Kč RO č. 216</t>
        </r>
      </text>
    </comment>
    <comment ref="M214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6901</t>
        </r>
      </text>
    </comment>
    <comment ref="J42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-1.000 tis. Kč RO č. 174</t>
        </r>
      </text>
    </comment>
    <comment ref="M117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6351</t>
        </r>
      </text>
    </comment>
    <comment ref="Q117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6351</t>
        </r>
      </text>
    </comment>
    <comment ref="J131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-250 tis. Kč RO č. 178
-200 tis. Kč RO č. 199
-1.000 tis. Kč RO č. 291
-2.550 tis. Kč RO č. 325</t>
        </r>
      </text>
    </comment>
    <comment ref="J117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+56,6 tis. Kč RO č. 176
</t>
        </r>
      </text>
    </comment>
    <comment ref="J166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+2.000 tis. Kč RO č. 179
+150 tis. Kč RO č. 301</t>
        </r>
      </text>
    </comment>
    <comment ref="J185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+200 tis. Kč RO č. 180</t>
        </r>
      </text>
    </comment>
    <comment ref="M207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6111</t>
        </r>
      </text>
    </comment>
    <comment ref="Q207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6111</t>
        </r>
      </text>
    </comment>
    <comment ref="J40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-1.800 tis. Kč RO č. 186</t>
        </r>
      </text>
    </comment>
    <comment ref="J33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+100 tis. Kč RO č. 186</t>
        </r>
      </text>
    </comment>
    <comment ref="J49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+405 tis. Kč RO č. 186
-54 tis. Kč RO č. 223</t>
        </r>
      </text>
    </comment>
    <comment ref="I215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6901</t>
        </r>
      </text>
    </comment>
    <comment ref="J215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+469,7 tis. Kč RO č. 170</t>
        </r>
      </text>
    </comment>
    <comment ref="M215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6901</t>
        </r>
      </text>
    </comment>
    <comment ref="M120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6351</t>
        </r>
      </text>
    </comment>
    <comment ref="Q120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6351</t>
        </r>
      </text>
    </comment>
    <comment ref="M121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6351</t>
        </r>
      </text>
    </comment>
    <comment ref="Q121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6351</t>
        </r>
      </text>
    </comment>
    <comment ref="M122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6351</t>
        </r>
      </text>
    </comment>
    <comment ref="Q122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6351</t>
        </r>
      </text>
    </comment>
    <comment ref="J119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+56,6 tis. Kč RO č. 193</t>
        </r>
      </text>
    </comment>
    <comment ref="M119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6351</t>
        </r>
      </text>
    </comment>
    <comment ref="Q119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6351</t>
        </r>
      </text>
    </comment>
    <comment ref="J120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+100 tis. Kč RO č. 193</t>
        </r>
      </text>
    </comment>
    <comment ref="J121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+129 tis. Kč RO č. 193
-46,3 tis. Kč RO č. 278</t>
        </r>
      </text>
    </comment>
    <comment ref="J122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+50 tis. Kč RO č. 193 </t>
        </r>
      </text>
    </comment>
    <comment ref="J200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-180 tis. Kč. RO č. 214</t>
        </r>
      </text>
    </comment>
    <comment ref="J193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-400 tis. Kč RO č. 216
-200 tis. Kč RO č. 331</t>
        </r>
      </text>
    </comment>
    <comment ref="J192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-200 tis. Kč RO č. 216
-26 tis. Kč RO č. 247
-100 tis. Kč RO č. 314
-74 tis. Kč RO č. 331</t>
        </r>
      </text>
    </comment>
    <comment ref="J207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+120 tis. Kč RO č. 216</t>
        </r>
      </text>
    </comment>
    <comment ref="J196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+492,1 tis. Kč RO č. 217</t>
        </r>
      </text>
    </comment>
    <comment ref="J142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+1.150 tis. Kč RO č. 203</t>
        </r>
      </text>
    </comment>
    <comment ref="M142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6351</t>
        </r>
      </text>
    </comment>
    <comment ref="Q142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6351</t>
        </r>
      </text>
    </comment>
    <comment ref="M143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6351</t>
        </r>
      </text>
    </comment>
    <comment ref="Q143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6351</t>
        </r>
      </text>
    </comment>
    <comment ref="J19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-750 tis. Kč RO č. 219
-500 tis. Kč RO č. 267</t>
        </r>
      </text>
    </comment>
    <comment ref="J22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+750 tis. Kč RO č. 219</t>
        </r>
      </text>
    </comment>
    <comment ref="J38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-2.000 tis. Kč RO č.220
</t>
        </r>
      </text>
    </comment>
    <comment ref="J57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+1.806,8 tis. Kč RO č. 93</t>
        </r>
      </text>
    </comment>
    <comment ref="J65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+1.500 tis. Kč RO č. 227
-3.200 tis. Kč RO č. 283
-90 tis. Kč RO č. 284</t>
        </r>
      </text>
    </comment>
    <comment ref="J68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+700 tis. Kč RO č. 227</t>
        </r>
      </text>
    </comment>
    <comment ref="J79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+600 tis. Kč RO č. 227</t>
        </r>
      </text>
    </comment>
    <comment ref="J80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+200 tis. Kč RO č. 227</t>
        </r>
      </text>
    </comment>
    <comment ref="J118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+60 tis. Kč RO č. 234
</t>
        </r>
      </text>
    </comment>
    <comment ref="M118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6351</t>
        </r>
      </text>
    </comment>
    <comment ref="Q118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6351</t>
        </r>
      </text>
    </comment>
    <comment ref="J123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+599 tis. Kč RO č. 234</t>
        </r>
      </text>
    </comment>
    <comment ref="Q123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6356</t>
        </r>
      </text>
    </comment>
    <comment ref="M123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6356</t>
        </r>
      </text>
    </comment>
    <comment ref="J161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+380 tis. Kč RO č. 245
-280 tis. Kč RO č. 303</t>
        </r>
      </text>
    </comment>
    <comment ref="J208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+120 tis. Kč RO č. 216</t>
        </r>
      </text>
    </comment>
    <comment ref="M208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6111</t>
        </r>
      </text>
    </comment>
    <comment ref="Q208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6111</t>
        </r>
      </text>
    </comment>
    <comment ref="M209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položka 6125</t>
        </r>
      </text>
    </comment>
    <comment ref="Q209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položka 6125</t>
        </r>
      </text>
    </comment>
    <comment ref="J52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+304 tis. Kč RO č. 252</t>
        </r>
      </text>
    </comment>
    <comment ref="J15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-5.000 tis. Kč RO č. 267</t>
        </r>
      </text>
    </comment>
    <comment ref="J17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-5.000 tis. Kč RO č. 267</t>
        </r>
      </text>
    </comment>
    <comment ref="J12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-15.000 tis. Kč RO č. 268</t>
        </r>
      </text>
    </comment>
    <comment ref="J10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-15.000 tis. Kč RO č. 269</t>
        </r>
      </text>
    </comment>
    <comment ref="I213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6901</t>
        </r>
      </text>
    </comment>
    <comment ref="J213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+15.000 tis. Kč RO č. 281
-1.800 tis. Kč RO č. 324</t>
        </r>
      </text>
    </comment>
    <comment ref="M213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6901</t>
        </r>
      </text>
    </comment>
    <comment ref="J90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-3.000 tis. Kč RO č. 282
-72.000 tis. Kč RO č. 316</t>
        </r>
      </text>
    </comment>
    <comment ref="J66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-2.000 tis. Kč RO č. 283</t>
        </r>
      </text>
    </comment>
    <comment ref="J64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-2.900 tis. Kč RO č. 283</t>
        </r>
      </text>
    </comment>
    <comment ref="J97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-217 tis. Kč Ro č. 284</t>
        </r>
      </text>
    </comment>
    <comment ref="M124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6356</t>
        </r>
      </text>
    </comment>
    <comment ref="Q124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6356
</t>
        </r>
      </text>
    </comment>
    <comment ref="J124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+90 tis. Kč RO č. 285</t>
        </r>
      </text>
    </comment>
    <comment ref="J136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-2.500 tis. Kč RO č. 291</t>
        </r>
      </text>
    </comment>
    <comment ref="J145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-200 tis. Kč RO č. 291</t>
        </r>
      </text>
    </comment>
    <comment ref="J150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-2.000 tis. Kč RO č. 297</t>
        </r>
      </text>
    </comment>
    <comment ref="J155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-2.100 tis. Kč RO č. 299</t>
        </r>
      </text>
    </comment>
    <comment ref="J160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+240 tis. Kč RO č. 301</t>
        </r>
      </text>
    </comment>
    <comment ref="J186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+615 tis. Kč RO č. 302</t>
        </r>
      </text>
    </comment>
    <comment ref="J176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-400 tis. Kč RO č. 303</t>
        </r>
      </text>
    </comment>
    <comment ref="J163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-11.700 tis. Kč RO č. 304</t>
        </r>
      </text>
    </comment>
    <comment ref="J167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-5.000 tis. Kč RO č. 305</t>
        </r>
      </text>
    </comment>
    <comment ref="J174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-500 tis. Kč RO č. 306</t>
        </r>
      </text>
    </comment>
    <comment ref="J177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+900 tis. Kč RO č. 306</t>
        </r>
      </text>
    </comment>
    <comment ref="J209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+100 tis. Kč RO č. 314</t>
        </r>
      </text>
    </comment>
    <comment ref="M147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6351</t>
        </r>
      </text>
    </comment>
    <comment ref="Q147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položka 6351</t>
        </r>
      </text>
    </comment>
    <comment ref="J132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+2.550 tis. Kč RO č. 325</t>
        </r>
      </text>
    </comment>
    <comment ref="J140" authorId="1">
      <text>
        <r>
          <rPr>
            <b/>
            <sz val="9"/>
            <rFont val="Tahoma"/>
            <family val="2"/>
          </rPr>
          <t>Kašák Martin:</t>
        </r>
        <r>
          <rPr>
            <sz val="9"/>
            <rFont val="Tahoma"/>
            <family val="2"/>
          </rPr>
          <t xml:space="preserve">
+2.450 tis. Kč RO č. 325</t>
        </r>
      </text>
    </comment>
    <comment ref="J194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-28 tis. Kč RO č. 331</t>
        </r>
      </text>
    </comment>
    <comment ref="J91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+6.983 tis. Kč RO č. 316</t>
        </r>
      </text>
    </comment>
    <comment ref="J92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+72.000 tis. Kč RO č. 316</t>
        </r>
      </text>
    </comment>
    <comment ref="J147" authorId="1">
      <text>
        <r>
          <rPr>
            <b/>
            <sz val="9"/>
            <rFont val="Tahoma"/>
            <family val="0"/>
          </rPr>
          <t>Kašák Martin:</t>
        </r>
        <r>
          <rPr>
            <sz val="9"/>
            <rFont val="Tahoma"/>
            <family val="0"/>
          </rPr>
          <t xml:space="preserve">
+1.800 tis. Kč RO č. 324</t>
        </r>
      </text>
    </comment>
  </commentList>
</comments>
</file>

<file path=xl/sharedStrings.xml><?xml version="1.0" encoding="utf-8"?>
<sst xmlns="http://schemas.openxmlformats.org/spreadsheetml/2006/main" count="557" uniqueCount="315">
  <si>
    <t>TAB.03- DOPRAVA</t>
  </si>
  <si>
    <t>Čerpání.</t>
  </si>
  <si>
    <t>z toho</t>
  </si>
  <si>
    <t>S R</t>
  </si>
  <si>
    <t xml:space="preserve">UR </t>
  </si>
  <si>
    <t xml:space="preserve">   z toho</t>
  </si>
  <si>
    <t>ÚZ</t>
  </si>
  <si>
    <t xml:space="preserve">Odvětví - Název  akce </t>
  </si>
  <si>
    <t>stroje,</t>
  </si>
  <si>
    <t>celkem</t>
  </si>
  <si>
    <t>stavby</t>
  </si>
  <si>
    <t>TAB. 01 - ROZVOJ OBCE</t>
  </si>
  <si>
    <t xml:space="preserve">TAB. 08 - HOSPODÁŘSTVÍ </t>
  </si>
  <si>
    <t>TAB. 09 - VNITŘNÍ SPRÁVA</t>
  </si>
  <si>
    <t>TAB. 10 - POKLADNÍ SPRÁVA - rezerva</t>
  </si>
  <si>
    <t>ÚHRN  ZA  M.Č.  PRAHA 6</t>
  </si>
  <si>
    <t>TAB. 04 - ŠKOLSTVÍ  A VZDĚLÁVÁNÍ</t>
  </si>
  <si>
    <t xml:space="preserve">TAB. 05 - ZDRAVOTNICTVÍ A SOC. OBL. </t>
  </si>
  <si>
    <t>TAB. 06 - KULTURA</t>
  </si>
  <si>
    <t xml:space="preserve"> Městská část Praha 6 - odd. fin. plánů a rozpočtu EO</t>
  </si>
  <si>
    <t xml:space="preserve"> v tis. Kč</t>
  </si>
  <si>
    <t>č.akce</t>
  </si>
  <si>
    <t xml:space="preserve">                 </t>
  </si>
  <si>
    <t xml:space="preserve">                  </t>
  </si>
  <si>
    <t xml:space="preserve">                   </t>
  </si>
  <si>
    <t xml:space="preserve">                    </t>
  </si>
  <si>
    <t xml:space="preserve">                      </t>
  </si>
  <si>
    <t>TAB.02- MĚSTSKÁ INFRASTRUKTURA</t>
  </si>
  <si>
    <t>ORG</t>
  </si>
  <si>
    <t>Odd.§</t>
  </si>
  <si>
    <t>ORJ</t>
  </si>
  <si>
    <t>02 12</t>
  </si>
  <si>
    <t>08 10</t>
  </si>
  <si>
    <t>stroje</t>
  </si>
  <si>
    <t>budovy</t>
  </si>
  <si>
    <t>vybavení</t>
  </si>
  <si>
    <t>I.P.</t>
  </si>
  <si>
    <t>ost.inv.vý</t>
  </si>
  <si>
    <t>ost.in.výd</t>
  </si>
  <si>
    <t>ost.inv.</t>
  </si>
  <si>
    <t xml:space="preserve">                  z toho</t>
  </si>
  <si>
    <t>TAB. 07 - BEZPEČNOST</t>
  </si>
  <si>
    <t>04 02</t>
  </si>
  <si>
    <t>05 06</t>
  </si>
  <si>
    <t>06 05</t>
  </si>
  <si>
    <t>01 05</t>
  </si>
  <si>
    <t>09 14</t>
  </si>
  <si>
    <t>03 12</t>
  </si>
  <si>
    <t>09 15</t>
  </si>
  <si>
    <t>Kamerový systém</t>
  </si>
  <si>
    <t>Investiční rozpočtová rezerva</t>
  </si>
  <si>
    <t>čerpání</t>
  </si>
  <si>
    <t>v %</t>
  </si>
  <si>
    <t>UR /</t>
  </si>
  <si>
    <t>Podzemní kontejnery</t>
  </si>
  <si>
    <t>13638</t>
  </si>
  <si>
    <t>18601</t>
  </si>
  <si>
    <t>16613</t>
  </si>
  <si>
    <t>17614</t>
  </si>
  <si>
    <t>Pamětní desky</t>
  </si>
  <si>
    <t>16622</t>
  </si>
  <si>
    <t>4</t>
  </si>
  <si>
    <t>18653</t>
  </si>
  <si>
    <t>18655</t>
  </si>
  <si>
    <t>13620</t>
  </si>
  <si>
    <t>za 1.-12</t>
  </si>
  <si>
    <t>19601</t>
  </si>
  <si>
    <t>18619</t>
  </si>
  <si>
    <t>19619</t>
  </si>
  <si>
    <t>13646</t>
  </si>
  <si>
    <t xml:space="preserve">09 14 </t>
  </si>
  <si>
    <t>18680</t>
  </si>
  <si>
    <t>20602</t>
  </si>
  <si>
    <t>Nákup velkých herních prvků</t>
  </si>
  <si>
    <t>20607</t>
  </si>
  <si>
    <t>Měřiče rychlosti</t>
  </si>
  <si>
    <t>19613</t>
  </si>
  <si>
    <t>Rekonstrukce bytů a nebytových prostor (různé budovy)</t>
  </si>
  <si>
    <t>Rozšíření systémů Ginis, e-spis, Proxio</t>
  </si>
  <si>
    <t>20629</t>
  </si>
  <si>
    <t>07 15</t>
  </si>
  <si>
    <t>Aplikace "Lepší Šestka"</t>
  </si>
  <si>
    <t>21601</t>
  </si>
  <si>
    <t>21602</t>
  </si>
  <si>
    <t>21603</t>
  </si>
  <si>
    <t>18609</t>
  </si>
  <si>
    <t>20616</t>
  </si>
  <si>
    <t>Seniorské centrum Šatovka - předprojektová příprava</t>
  </si>
  <si>
    <t>Sochy do veřejného prostoru</t>
  </si>
  <si>
    <t>Různé SW akce</t>
  </si>
  <si>
    <t>Stavební úpravy budovy</t>
  </si>
  <si>
    <t>Obnova a rozšíření HW a SW systémů MaR</t>
  </si>
  <si>
    <t>Autoprovoz - nákup nových osobních automobilů</t>
  </si>
  <si>
    <t>ZŠ E. Destinnové a ZŠ nám. Svobody 2 - půdní vestavba</t>
  </si>
  <si>
    <t>19634</t>
  </si>
  <si>
    <t>21623</t>
  </si>
  <si>
    <t>21624</t>
  </si>
  <si>
    <t>21627</t>
  </si>
  <si>
    <t xml:space="preserve">Čerpání rozpočtu kapitálových výdajů m.č. Praha 6 za rok 2022 </t>
  </si>
  <si>
    <t>Park Lazaro Cardenase - realizace</t>
  </si>
  <si>
    <t>Plán pro Ladronku</t>
  </si>
  <si>
    <t>Veřejný prostor</t>
  </si>
  <si>
    <t>Bubenečské nádraží - PD</t>
  </si>
  <si>
    <t>Revitalizace veřejného prostoru - studně, vodní prvky</t>
  </si>
  <si>
    <t>Rehabilitace náměstí Interbrigády včetně umístění uměleckého díla (soutěž + PD)</t>
  </si>
  <si>
    <t>KC Kaštan - PD</t>
  </si>
  <si>
    <t>Rakovnická - BD + MŠ - architektonická soutěž a PD</t>
  </si>
  <si>
    <t>22601</t>
  </si>
  <si>
    <t>22602</t>
  </si>
  <si>
    <t>Rekonstrukce pěší cesty k nemocnici Motol - PD</t>
  </si>
  <si>
    <t>Revitalizace parku za zimním stadionem Vokovice - participace</t>
  </si>
  <si>
    <t>Vybudování pěší cesty Talichova a Stamicova</t>
  </si>
  <si>
    <t>Revitalizace parku Na Čihadle - 1. část PD</t>
  </si>
  <si>
    <t>Revitalizace sídliště Červený vrch 1. část</t>
  </si>
  <si>
    <t>Zastřešení 3 dětských hřišť</t>
  </si>
  <si>
    <t>Revitalizace parku Williho Brandta</t>
  </si>
  <si>
    <t>Kanalizace na DH Baba - PD</t>
  </si>
  <si>
    <t>Propojení lesních cest kolem sv. Matěje - participace</t>
  </si>
  <si>
    <t>Revitalizace DH Starostřešovická</t>
  </si>
  <si>
    <t>22603</t>
  </si>
  <si>
    <t>22604</t>
  </si>
  <si>
    <t>22605</t>
  </si>
  <si>
    <t>22606</t>
  </si>
  <si>
    <t>22607</t>
  </si>
  <si>
    <t>22608</t>
  </si>
  <si>
    <t>22609</t>
  </si>
  <si>
    <t>22610</t>
  </si>
  <si>
    <t xml:space="preserve">MŠ Tychonova - celková rekonstrukce </t>
  </si>
  <si>
    <t>MŠ Libocká - celková rekonstrukce, vč. 2 třídní přístavby MŠ s výtahem - vč. PD</t>
  </si>
  <si>
    <t>MŠ Janákova - přístavba 2 třídní MŠ vč. rekonstrukce stávajícího objektu - vč. PD</t>
  </si>
  <si>
    <t>MŠ Vokovická - parc.č.1281/256, 257 - novostavba 4 třídní MŠ - vč. PD</t>
  </si>
  <si>
    <t>MŠ Velvarská - modernizace vzduchotechniky, měření a regulace - vč. PD</t>
  </si>
  <si>
    <t>MŠ Čínská - doplnění stínění do oken</t>
  </si>
  <si>
    <t>MŠ Motýlek - doplnění stínění do oken</t>
  </si>
  <si>
    <t>MŠ Šmolíkova - rekonstrukce včetně nástavby - PD</t>
  </si>
  <si>
    <t>MŠ Šmolíkova - rekonstrukce stávajících prostor pro potřeby Spec.pedag.centra</t>
  </si>
  <si>
    <t>MŠ Na Okraji - rekonstrukce venkovního hygienického zázemí</t>
  </si>
  <si>
    <t>Novostavba 4 třídní MŠ v areálu ZŠ Červený Vrch - PD</t>
  </si>
  <si>
    <t>MŠ Na Marně - PD</t>
  </si>
  <si>
    <t>MŠ Parléřova - novostavba 2 třídní MŠ - architektonická soutěž</t>
  </si>
  <si>
    <t>ZŠ J. A. Komenského - půdní vestavba</t>
  </si>
  <si>
    <t>ZŠ T. G. Masaryka - navýšení kapacity o dvě třídy (vila Pamela) - vč. PD</t>
  </si>
  <si>
    <t>ZŠ E. Destinnové a ZŠ nám. Svobody 2 - výměna ZTI instalací - vč. PD</t>
  </si>
  <si>
    <t>ZŠ E. Destinnové a ZŠ nám. Svobody 2 - rekonstrukce plochých střech a teras - PD</t>
  </si>
  <si>
    <t>ZŠ Dědina - nástavba - PD</t>
  </si>
  <si>
    <t>ZŠ Kocínka - výstavba nového objektu - vč. PD</t>
  </si>
  <si>
    <t>ZŠ Norbertov - vybudování venkovního sportoviště - vč. PD</t>
  </si>
  <si>
    <t>ZŠ T. G. Masaryka - objekt Bělohorská 174 - výměna části oken - vč. PD</t>
  </si>
  <si>
    <t>ZŠ Petřiny - sever - celková rekonstrukce střechy tělocvičny - vč. PD</t>
  </si>
  <si>
    <t>ZŠ Věry Čáslavské - modernizace venkovního sportoviště - vč. PD</t>
  </si>
  <si>
    <t>ZŠ T. G. Masaryka - modernizace venkovního sportoviště - vč. PD</t>
  </si>
  <si>
    <t>ZŠ T. G. Masaryka - rekonstrukce podlahy sportovní haly - vč. PD</t>
  </si>
  <si>
    <t>ZŠ Vlastina - rekonstrukce objektu - PD</t>
  </si>
  <si>
    <t>ZŠ Petřiny - sever  nástavba objektu - předprojektová příprava</t>
  </si>
  <si>
    <t>ZŠ Červený vrch - přístavba objektu a zastřešení bazénu - předprojektová příprava</t>
  </si>
  <si>
    <t>ZŠ Bílá - navýšení kapacity varny - transportní trasa - PD</t>
  </si>
  <si>
    <t>ZŠ T. G. Masaryka - rekonstrukce školní kuchyně - vč. PD</t>
  </si>
  <si>
    <t>ZŠ nám. Svobody 2 - rekonstrukce školní kuchyně - vč. PD</t>
  </si>
  <si>
    <t>19602</t>
  </si>
  <si>
    <t>20617</t>
  </si>
  <si>
    <t>22611</t>
  </si>
  <si>
    <t>18621</t>
  </si>
  <si>
    <t>18628</t>
  </si>
  <si>
    <t>19651</t>
  </si>
  <si>
    <t>21607</t>
  </si>
  <si>
    <t>22613</t>
  </si>
  <si>
    <t>22614</t>
  </si>
  <si>
    <t>22615</t>
  </si>
  <si>
    <t>Rekonstrukce polikliniky Pod Marjánkou (architektonická soutěž)</t>
  </si>
  <si>
    <t>Přístavba polikliniky Pod Marjánkou (architektonická soutěž)</t>
  </si>
  <si>
    <t>Modernizace LDN Chittussiho</t>
  </si>
  <si>
    <t>Nová LDN Drnovská - projektová příprava</t>
  </si>
  <si>
    <t>Nákup automobilu PRO6</t>
  </si>
  <si>
    <t>22617</t>
  </si>
  <si>
    <t>Modely významných objektů</t>
  </si>
  <si>
    <t>Rekonstrukce zdravotně-technických instalací v byt.domě nám. Svobody 728/1</t>
  </si>
  <si>
    <t>Rekonstrukce výtahových kabin v byt.domě nám. Svobody 728/1</t>
  </si>
  <si>
    <t>Rekonstrukce syst. vytápění neb.prostor a výměna výkladců nám. Svobody 728/1</t>
  </si>
  <si>
    <t>Rekonstrukce střešního pláště byt.domu nám. Svobody 728/1</t>
  </si>
  <si>
    <t>Výměna střešní krytiny (vč.kotvení) byt.domů (ul.Jílkova, Nad Kajetánkou, Patočkova)</t>
  </si>
  <si>
    <t>Modernizace elektroinstalace společných prostor byt.domu nám. Svobody 728/1</t>
  </si>
  <si>
    <t>Výměna oken (jiné tech.parametry) v domě Dejvická 397/34</t>
  </si>
  <si>
    <t>Rekonstrukce půdních prostor na byt.prostory s vytvořením parkování na pozemku u objektu Střešovická 532/23</t>
  </si>
  <si>
    <t>Zateplení byt.domu Šultysova 905/26 a rekonstrukce oplocení - PD</t>
  </si>
  <si>
    <t>Bubenečské nádraží - rekonstrukce</t>
  </si>
  <si>
    <t>Výstavba půdních bytů v bytovém domě Dejvická 397/34</t>
  </si>
  <si>
    <t>Rekonstrukce vzduchotechniky v byt.domě nám. Svobody 728/1 - PD</t>
  </si>
  <si>
    <t>Zateplení fasády a rek.krovu azylového domu A. Čermáka 85/4 - PD</t>
  </si>
  <si>
    <t>Rekonstrukce kotelen a systému vytápění (různé budovy)</t>
  </si>
  <si>
    <t>22624</t>
  </si>
  <si>
    <t>22625</t>
  </si>
  <si>
    <t>Tvorba webových stránek - pokračování</t>
  </si>
  <si>
    <t>Rozšíření serverové infrastruktury - pokračování</t>
  </si>
  <si>
    <t>2. etapa výměny osvětlení vč. pomocných prací</t>
  </si>
  <si>
    <t>22627</t>
  </si>
  <si>
    <t>2 0 2 2</t>
  </si>
  <si>
    <t>Nový život v parku W. Brandta</t>
  </si>
  <si>
    <t>Sportoviště pro seniory</t>
  </si>
  <si>
    <t>Revitalizace dětského hřiště Chotkova</t>
  </si>
  <si>
    <t>Rekonstrukce a modernizace kotelny v domě střednědobého bydlení Na Bateriích 477/41</t>
  </si>
  <si>
    <t>Rekonstrukce a modernizace kotelny v bytovém domě Střešovická 532/23</t>
  </si>
  <si>
    <t>Garážové stání v rezidenci Radimova</t>
  </si>
  <si>
    <t>Obnova chodníku podél ulice Tomanova</t>
  </si>
  <si>
    <t>19609</t>
  </si>
  <si>
    <t>19614</t>
  </si>
  <si>
    <t>ZŠ Bílá - rekonstrukce venkovního sportoviště vč. PD</t>
  </si>
  <si>
    <t>0081677021616</t>
  </si>
  <si>
    <t>Pumptracková dráha v ulici Papírenská</t>
  </si>
  <si>
    <t>Vizuální identita MČ Prahy 6</t>
  </si>
  <si>
    <t>Plotter</t>
  </si>
  <si>
    <t>Velkoformátový scaner</t>
  </si>
  <si>
    <t>09 13</t>
  </si>
  <si>
    <t>Přístavba prostor v Dejvickém divadle</t>
  </si>
  <si>
    <t>22640</t>
  </si>
  <si>
    <t>0081516018628</t>
  </si>
  <si>
    <t>2</t>
  </si>
  <si>
    <t>ZŠ Petřiny - sever - spojovací krček</t>
  </si>
  <si>
    <t>22641</t>
  </si>
  <si>
    <t>ZŠ E. Destinnové rekonstrukce podlah tělocvičen vč. PD</t>
  </si>
  <si>
    <t>Macharovo náměstí - PD, realizace + bourání (tenisový klub Na Ořechovce)</t>
  </si>
  <si>
    <t>2732242000000</t>
  </si>
  <si>
    <t>FMŠ Arabská - projekt "Učíme se venku - na zahradě"</t>
  </si>
  <si>
    <t>22642</t>
  </si>
  <si>
    <t>ZŠ E. Destinnové a ZŠ nám.Svobody - vybavení nových učeben</t>
  </si>
  <si>
    <t>Přestavba jednoho podlaží polikliniky Pod Marjánkou na školské zařízení</t>
  </si>
  <si>
    <t>0081303016614</t>
  </si>
  <si>
    <t>0080369017614</t>
  </si>
  <si>
    <t xml:space="preserve">Rekonstrukce polikliniky Pod Marjánkou </t>
  </si>
  <si>
    <t>Rekonstrukce Léčebny dlouhodobě nemocných</t>
  </si>
  <si>
    <t>0081364020654</t>
  </si>
  <si>
    <t>0081365013646</t>
  </si>
  <si>
    <t>LDN Drnovská -  výstavba nové LDN - projektová příprava</t>
  </si>
  <si>
    <t>0081366019619</t>
  </si>
  <si>
    <t>Přístavba polikliniky Pod Marjánkou</t>
  </si>
  <si>
    <t>0081218020641</t>
  </si>
  <si>
    <t>Smart Cities - Program nízkouhlíkové městské části Praha 6 - investiční část</t>
  </si>
  <si>
    <t>0081219020642</t>
  </si>
  <si>
    <t>Smart Cities - Projekt Evropská - investiční část</t>
  </si>
  <si>
    <t>0081617019663</t>
  </si>
  <si>
    <t>Podzemní nádrže na dešťovou vodu v parku Královka</t>
  </si>
  <si>
    <t>0081619020606</t>
  </si>
  <si>
    <t>Pítka ve veřejném prostoru</t>
  </si>
  <si>
    <t>0081616021625</t>
  </si>
  <si>
    <t>Dešťový záhon Vokovice</t>
  </si>
  <si>
    <t>0081620021626</t>
  </si>
  <si>
    <t>Studie proveditelnosti - realizace mokřadů na Praze 6</t>
  </si>
  <si>
    <t>0081701021632</t>
  </si>
  <si>
    <t>Doplnění chodníku v ulici Pod Juliskou</t>
  </si>
  <si>
    <t>ZŠ Petřiny sever - výměna vstupního portálu - PD</t>
  </si>
  <si>
    <t>ZŠ Na Dlouhém lánu - změna využití objektu ŠD včetně PD</t>
  </si>
  <si>
    <t>22644</t>
  </si>
  <si>
    <t>22645</t>
  </si>
  <si>
    <t>Altán na Dědině</t>
  </si>
  <si>
    <t>22646</t>
  </si>
  <si>
    <t>Břevnovský kulaťák</t>
  </si>
  <si>
    <t>22647</t>
  </si>
  <si>
    <t>MŠ Juárezova - výměna kotle ve školnickém bytě</t>
  </si>
  <si>
    <t>Hmyzí hotely</t>
  </si>
  <si>
    <t>22648</t>
  </si>
  <si>
    <t>Výměna a posílení chladící jednotky pro serverovnu IT</t>
  </si>
  <si>
    <t>15650</t>
  </si>
  <si>
    <t>Komunikace Evropská - Podbabská - studie proveditelnosti KEP</t>
  </si>
  <si>
    <t>19643</t>
  </si>
  <si>
    <t>Dopracování a aktualizace pasportů ZŠ</t>
  </si>
  <si>
    <t>Dopracování a aktualizace pasportů MŠ</t>
  </si>
  <si>
    <t>20654</t>
  </si>
  <si>
    <t>0081705021633</t>
  </si>
  <si>
    <t>Rekonstrukce otopné soustavy služebny MP HMP, Českomalínská 25</t>
  </si>
  <si>
    <t>0081793019663</t>
  </si>
  <si>
    <t>2732254000000</t>
  </si>
  <si>
    <t>MŠ Bubeníčkova - zahrada, místo pro rozvoj polytechnických dovedností</t>
  </si>
  <si>
    <t>3</t>
  </si>
  <si>
    <t>04 03</t>
  </si>
  <si>
    <t>Dotace  SK Aritma Praha</t>
  </si>
  <si>
    <t>Dotace TJ Tatran Střešovice</t>
  </si>
  <si>
    <t>6</t>
  </si>
  <si>
    <t>LDN Chitussiho na nákup 2 ks myček nádobí</t>
  </si>
  <si>
    <t>LDN Chitussiho na obnovuserveru pro PC</t>
  </si>
  <si>
    <t>Rekonstrukce víceúčelového hřiště na Hanspaulce</t>
  </si>
  <si>
    <t>Rekonstrukce zdravotně-technických instalací v domě Dejvická 397/34</t>
  </si>
  <si>
    <t>Rekonstrukce a modernizace kotelny v azylovém domě Na Viničce 624/9</t>
  </si>
  <si>
    <t>Rekonstrukce a modernizace kotelny v zařízení pro děti Dům tří přání</t>
  </si>
  <si>
    <t>Odkoupení garáže na pozemku parc. č. 630/11 v k. ú. Břevnov</t>
  </si>
  <si>
    <t>ZŠ a MŠ Červený vrch - workoutová sestava</t>
  </si>
  <si>
    <t>Překladač</t>
  </si>
  <si>
    <t>Rozšíření dětského hřiště na náměstí Před Bateriemi</t>
  </si>
  <si>
    <t>22652</t>
  </si>
  <si>
    <t>MŠ Terronská - rekonstrukce střešního pláště a teras - PD</t>
  </si>
  <si>
    <t>MŠ Valdorfská - digestoř nad konvektomat</t>
  </si>
  <si>
    <t>22653</t>
  </si>
  <si>
    <t>22654</t>
  </si>
  <si>
    <t>Objekt veřejné správy Podbaba - Juliska</t>
  </si>
  <si>
    <t>22655</t>
  </si>
  <si>
    <t>21622</t>
  </si>
  <si>
    <t>Stanoviště tříděného odpadu</t>
  </si>
  <si>
    <t>ZŠ Norbertov - pořízení dřevěného altánu</t>
  </si>
  <si>
    <t>ZŠ Červený vrch - workoutové centrum</t>
  </si>
  <si>
    <t>ZŠ E. Destinnové - bistro</t>
  </si>
  <si>
    <t>ZŠ A. Čermáka - přenosné pódium</t>
  </si>
  <si>
    <t>LDN Chitussiho na nákup 3 ks mycích a desinfekčních automatů na podložní mísy a nový bezdrátový ultrazvuk 2v1 (sonografická sonda 2v1)</t>
  </si>
  <si>
    <t>ZŠ Dědina - multifunkční tiskárny</t>
  </si>
  <si>
    <t>ZŠ Dědina nákup vybavení školní jidelny</t>
  </si>
  <si>
    <t>Výstavba pódia na Vítězném náměstí - PD</t>
  </si>
  <si>
    <t>Úprava vnitrobloku Bubenečská - Dr. Zikmunda Wintra - Eliášova - Raisova</t>
  </si>
  <si>
    <t>Elektronický Flipchart</t>
  </si>
  <si>
    <t>MŠ Sbíhavá - průmyslová myčka na nádobí + dataprojektor</t>
  </si>
  <si>
    <t>Odkup 2 garáží na pozemcích par. č. 1573/13 a 1573/17 k.ú. Bubeneč</t>
  </si>
  <si>
    <t>22657</t>
  </si>
  <si>
    <t>0081706000002</t>
  </si>
  <si>
    <t>ZŠ Petřiny sever - pořízení TV lupa</t>
  </si>
  <si>
    <t>Rekonstrukce byt. domu Dejvická 184/4 - klimatizační jednotky (OKSVČ)</t>
  </si>
  <si>
    <t>Nákup aelektromobilu pro Pečovatelskou službu Praha 6</t>
  </si>
  <si>
    <t>k 31.12.2022</t>
  </si>
  <si>
    <t>Scanner</t>
  </si>
  <si>
    <t>Příloha č. 8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</si>
</sst>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\ _z_ł_-;\-* #,##0\ _z_ł_-;_-* &quot;-&quot;\ _z_ł_-;_-@_-"/>
    <numFmt numFmtId="172" formatCode="_-* #,##0.00\ _z_ł_-;\-* #,##0.00\ _z_ł_-;_-* &quot;-&quot;??\ _z_ł_-;_-@_-"/>
    <numFmt numFmtId="173" formatCode="_-&quot;Ł&quot;* #,##0_-;\-&quot;Ł&quot;* #,##0_-;_-&quot;Ł&quot;* &quot;-&quot;_-;_-@_-"/>
    <numFmt numFmtId="174" formatCode="_-&quot;Ł&quot;* #,##0.00_-;\-&quot;Ł&quot;* #,##0.00_-;_-&quot;Ł&quot;* &quot;-&quot;??_-;_-@_-"/>
    <numFmt numFmtId="175" formatCode="#,##0_ ;\-#,##0\ "/>
    <numFmt numFmtId="176" formatCode="[$¥€-2]\ #\ ##,000_);[Red]\([$€-2]\ #\ ##,000\)"/>
  </numFmts>
  <fonts count="56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i/>
      <sz val="9"/>
      <name val="Arial CE"/>
      <family val="0"/>
    </font>
    <font>
      <sz val="8"/>
      <name val="Arial"/>
      <family val="2"/>
    </font>
    <font>
      <i/>
      <sz val="8"/>
      <name val="Arial"/>
      <family val="2"/>
    </font>
    <font>
      <sz val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8"/>
      <color theme="1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medium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medium"/>
      <right style="medium"/>
      <top style="thick"/>
      <bottom style="double"/>
    </border>
    <border>
      <left style="thin"/>
      <right style="thin"/>
      <top style="thick"/>
      <bottom style="double"/>
    </border>
    <border>
      <left style="medium"/>
      <right style="double"/>
      <top style="thick"/>
      <bottom style="double"/>
    </border>
    <border>
      <left style="double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16" fillId="0" borderId="0">
      <alignment/>
      <protection/>
    </xf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55">
    <xf numFmtId="0" fontId="0" fillId="0" borderId="0" xfId="0" applyAlignment="1">
      <alignment/>
    </xf>
    <xf numFmtId="0" fontId="1" fillId="0" borderId="0" xfId="60">
      <alignment/>
      <protection/>
    </xf>
    <xf numFmtId="0" fontId="1" fillId="0" borderId="0" xfId="63">
      <alignment/>
      <protection/>
    </xf>
    <xf numFmtId="0" fontId="1" fillId="33" borderId="0" xfId="60" applyFill="1" applyBorder="1">
      <alignment/>
      <protection/>
    </xf>
    <xf numFmtId="0" fontId="4" fillId="33" borderId="0" xfId="60" applyFont="1" applyFill="1" applyBorder="1">
      <alignment/>
      <protection/>
    </xf>
    <xf numFmtId="0" fontId="1" fillId="33" borderId="0" xfId="62" applyFill="1" applyBorder="1">
      <alignment/>
      <protection/>
    </xf>
    <xf numFmtId="0" fontId="1" fillId="0" borderId="0" xfId="60" applyFill="1" applyBorder="1">
      <alignment/>
      <protection/>
    </xf>
    <xf numFmtId="0" fontId="1" fillId="0" borderId="0" xfId="60" applyBorder="1">
      <alignment/>
      <protection/>
    </xf>
    <xf numFmtId="0" fontId="1" fillId="0" borderId="10" xfId="60" applyBorder="1">
      <alignment/>
      <protection/>
    </xf>
    <xf numFmtId="0" fontId="7" fillId="33" borderId="11" xfId="62" applyFont="1" applyFill="1" applyBorder="1">
      <alignment/>
      <protection/>
    </xf>
    <xf numFmtId="0" fontId="7" fillId="33" borderId="12" xfId="62" applyFont="1" applyFill="1" applyBorder="1">
      <alignment/>
      <protection/>
    </xf>
    <xf numFmtId="0" fontId="7" fillId="33" borderId="13" xfId="62" applyFont="1" applyFill="1" applyBorder="1" applyAlignment="1">
      <alignment horizontal="center"/>
      <protection/>
    </xf>
    <xf numFmtId="0" fontId="8" fillId="0" borderId="12" xfId="62" applyFont="1" applyFill="1" applyBorder="1" applyAlignment="1" quotePrefix="1">
      <alignment horizontal="left"/>
      <protection/>
    </xf>
    <xf numFmtId="0" fontId="8" fillId="34" borderId="14" xfId="62" applyFont="1" applyFill="1" applyBorder="1" applyAlignment="1">
      <alignment horizontal="center"/>
      <protection/>
    </xf>
    <xf numFmtId="0" fontId="8" fillId="33" borderId="12" xfId="62" applyFont="1" applyFill="1" applyBorder="1" applyAlignment="1">
      <alignment horizontal="left"/>
      <protection/>
    </xf>
    <xf numFmtId="0" fontId="7" fillId="33" borderId="15" xfId="62" applyFont="1" applyFill="1" applyBorder="1" applyAlignment="1" quotePrefix="1">
      <alignment horizontal="left"/>
      <protection/>
    </xf>
    <xf numFmtId="0" fontId="8" fillId="34" borderId="14" xfId="62" applyFont="1" applyFill="1" applyBorder="1" applyAlignment="1" quotePrefix="1">
      <alignment horizontal="center"/>
      <protection/>
    </xf>
    <xf numFmtId="0" fontId="10" fillId="0" borderId="16" xfId="60" applyFont="1" applyBorder="1" applyAlignment="1">
      <alignment horizontal="center"/>
      <protection/>
    </xf>
    <xf numFmtId="49" fontId="8" fillId="33" borderId="17" xfId="62" applyNumberFormat="1" applyFont="1" applyFill="1" applyBorder="1" applyAlignment="1">
      <alignment horizontal="center"/>
      <protection/>
    </xf>
    <xf numFmtId="0" fontId="8" fillId="0" borderId="0" xfId="62" applyFont="1" applyFill="1" applyBorder="1" applyAlignment="1" quotePrefix="1">
      <alignment horizontal="center"/>
      <protection/>
    </xf>
    <xf numFmtId="0" fontId="8" fillId="34" borderId="18" xfId="62" applyFont="1" applyFill="1" applyBorder="1" applyAlignment="1">
      <alignment horizontal="center"/>
      <protection/>
    </xf>
    <xf numFmtId="0" fontId="7" fillId="33" borderId="19" xfId="62" applyFont="1" applyFill="1" applyBorder="1" applyAlignment="1">
      <alignment horizontal="center"/>
      <protection/>
    </xf>
    <xf numFmtId="0" fontId="7" fillId="33" borderId="20" xfId="62" applyFont="1" applyFill="1" applyBorder="1" applyAlignment="1">
      <alignment horizontal="center"/>
      <protection/>
    </xf>
    <xf numFmtId="0" fontId="7" fillId="33" borderId="21" xfId="62" applyFont="1" applyFill="1" applyBorder="1" applyAlignment="1">
      <alignment horizontal="center"/>
      <protection/>
    </xf>
    <xf numFmtId="0" fontId="10" fillId="0" borderId="22" xfId="60" applyFont="1" applyBorder="1" applyAlignment="1">
      <alignment horizontal="center"/>
      <protection/>
    </xf>
    <xf numFmtId="0" fontId="7" fillId="33" borderId="23" xfId="62" applyFont="1" applyFill="1" applyBorder="1" applyAlignment="1">
      <alignment horizontal="left"/>
      <protection/>
    </xf>
    <xf numFmtId="0" fontId="7" fillId="33" borderId="24" xfId="62" applyFont="1" applyFill="1" applyBorder="1" applyAlignment="1">
      <alignment horizontal="left"/>
      <protection/>
    </xf>
    <xf numFmtId="0" fontId="7" fillId="33" borderId="25" xfId="62" applyFont="1" applyFill="1" applyBorder="1" applyAlignment="1">
      <alignment horizontal="left"/>
      <protection/>
    </xf>
    <xf numFmtId="0" fontId="7" fillId="0" borderId="24" xfId="62" applyFont="1" applyFill="1" applyBorder="1" applyAlignment="1">
      <alignment horizontal="left"/>
      <protection/>
    </xf>
    <xf numFmtId="0" fontId="8" fillId="34" borderId="26" xfId="62" applyFont="1" applyFill="1" applyBorder="1" applyAlignment="1">
      <alignment horizontal="center"/>
      <protection/>
    </xf>
    <xf numFmtId="0" fontId="7" fillId="33" borderId="27" xfId="62" applyFont="1" applyFill="1" applyBorder="1" applyAlignment="1">
      <alignment horizontal="center"/>
      <protection/>
    </xf>
    <xf numFmtId="0" fontId="7" fillId="33" borderId="25" xfId="62" applyFont="1" applyFill="1" applyBorder="1" applyAlignment="1">
      <alignment horizontal="center"/>
      <protection/>
    </xf>
    <xf numFmtId="14" fontId="8" fillId="34" borderId="26" xfId="62" applyNumberFormat="1" applyFont="1" applyFill="1" applyBorder="1" applyAlignment="1">
      <alignment horizontal="center"/>
      <protection/>
    </xf>
    <xf numFmtId="0" fontId="7" fillId="33" borderId="28" xfId="62" applyFont="1" applyFill="1" applyBorder="1" applyAlignment="1">
      <alignment horizontal="center"/>
      <protection/>
    </xf>
    <xf numFmtId="0" fontId="7" fillId="35" borderId="29" xfId="62" applyFont="1" applyFill="1" applyBorder="1" applyAlignment="1">
      <alignment horizontal="left"/>
      <protection/>
    </xf>
    <xf numFmtId="0" fontId="7" fillId="35" borderId="29" xfId="62" applyFont="1" applyFill="1" applyBorder="1" applyAlignment="1">
      <alignment horizontal="center"/>
      <protection/>
    </xf>
    <xf numFmtId="0" fontId="7" fillId="35" borderId="29" xfId="62" applyFont="1" applyFill="1" applyBorder="1" applyAlignment="1" quotePrefix="1">
      <alignment horizontal="center"/>
      <protection/>
    </xf>
    <xf numFmtId="49" fontId="7" fillId="0" borderId="22" xfId="60" applyNumberFormat="1" applyFont="1" applyBorder="1" applyAlignment="1">
      <alignment horizontal="center"/>
      <protection/>
    </xf>
    <xf numFmtId="0" fontId="7" fillId="33" borderId="26" xfId="60" applyFont="1" applyFill="1" applyBorder="1" applyAlignment="1" quotePrefix="1">
      <alignment horizontal="center"/>
      <protection/>
    </xf>
    <xf numFmtId="0" fontId="7" fillId="33" borderId="30" xfId="60" applyFont="1" applyFill="1" applyBorder="1" applyAlignment="1">
      <alignment horizontal="center"/>
      <protection/>
    </xf>
    <xf numFmtId="164" fontId="7" fillId="33" borderId="31" xfId="62" applyNumberFormat="1" applyFont="1" applyFill="1" applyBorder="1" applyAlignment="1">
      <alignment/>
      <protection/>
    </xf>
    <xf numFmtId="0" fontId="7" fillId="35" borderId="32" xfId="60" applyFont="1" applyFill="1" applyBorder="1" applyAlignment="1" quotePrefix="1">
      <alignment horizontal="center"/>
      <protection/>
    </xf>
    <xf numFmtId="0" fontId="7" fillId="35" borderId="0" xfId="60" applyFont="1" applyFill="1" applyBorder="1" applyAlignment="1">
      <alignment horizontal="center"/>
      <protection/>
    </xf>
    <xf numFmtId="0" fontId="7" fillId="35" borderId="0" xfId="60" applyFont="1" applyFill="1" applyBorder="1">
      <alignment/>
      <protection/>
    </xf>
    <xf numFmtId="0" fontId="7" fillId="33" borderId="33" xfId="60" applyFont="1" applyFill="1" applyBorder="1" applyAlignment="1" quotePrefix="1">
      <alignment horizontal="center"/>
      <protection/>
    </xf>
    <xf numFmtId="3" fontId="7" fillId="35" borderId="0" xfId="62" applyNumberFormat="1" applyFont="1" applyFill="1" applyBorder="1">
      <alignment/>
      <protection/>
    </xf>
    <xf numFmtId="164" fontId="7" fillId="35" borderId="0" xfId="62" applyNumberFormat="1" applyFont="1" applyFill="1" applyBorder="1" applyAlignment="1">
      <alignment/>
      <protection/>
    </xf>
    <xf numFmtId="164" fontId="7" fillId="33" borderId="28" xfId="62" applyNumberFormat="1" applyFont="1" applyFill="1" applyBorder="1" applyAlignment="1">
      <alignment/>
      <protection/>
    </xf>
    <xf numFmtId="0" fontId="8" fillId="35" borderId="0" xfId="60" applyFont="1" applyFill="1" applyBorder="1" applyAlignment="1">
      <alignment horizontal="center"/>
      <protection/>
    </xf>
    <xf numFmtId="0" fontId="7" fillId="35" borderId="0" xfId="60" applyFont="1" applyFill="1" applyBorder="1" applyAlignment="1" quotePrefix="1">
      <alignment horizontal="left"/>
      <protection/>
    </xf>
    <xf numFmtId="164" fontId="7" fillId="36" borderId="33" xfId="62" applyNumberFormat="1" applyFont="1" applyFill="1" applyBorder="1" applyAlignment="1">
      <alignment vertical="center"/>
      <protection/>
    </xf>
    <xf numFmtId="49" fontId="7" fillId="0" borderId="34" xfId="60" applyNumberFormat="1" applyFont="1" applyBorder="1" applyAlignment="1">
      <alignment horizontal="center"/>
      <protection/>
    </xf>
    <xf numFmtId="164" fontId="7" fillId="33" borderId="31" xfId="62" applyNumberFormat="1" applyFont="1" applyFill="1" applyBorder="1" applyAlignment="1" quotePrefix="1">
      <alignment/>
      <protection/>
    </xf>
    <xf numFmtId="0" fontId="7" fillId="33" borderId="18" xfId="60" applyFont="1" applyFill="1" applyBorder="1" applyAlignment="1" quotePrefix="1">
      <alignment horizontal="center"/>
      <protection/>
    </xf>
    <xf numFmtId="164" fontId="7" fillId="35" borderId="0" xfId="62" applyNumberFormat="1" applyFont="1" applyFill="1" applyBorder="1" applyAlignment="1">
      <alignment vertical="center"/>
      <protection/>
    </xf>
    <xf numFmtId="164" fontId="7" fillId="33" borderId="31" xfId="62" applyNumberFormat="1" applyFont="1" applyFill="1" applyBorder="1" applyAlignment="1">
      <alignment vertical="center"/>
      <protection/>
    </xf>
    <xf numFmtId="0" fontId="13" fillId="35" borderId="0" xfId="60" applyFont="1" applyFill="1" applyBorder="1">
      <alignment/>
      <protection/>
    </xf>
    <xf numFmtId="0" fontId="13" fillId="33" borderId="0" xfId="62" applyFont="1" applyFill="1" applyBorder="1">
      <alignment/>
      <protection/>
    </xf>
    <xf numFmtId="0" fontId="7" fillId="33" borderId="0" xfId="62" applyFont="1" applyFill="1" applyBorder="1">
      <alignment/>
      <protection/>
    </xf>
    <xf numFmtId="0" fontId="8" fillId="33" borderId="0" xfId="62" applyFont="1" applyFill="1" applyBorder="1" applyAlignment="1" quotePrefix="1">
      <alignment vertical="center"/>
      <protection/>
    </xf>
    <xf numFmtId="3" fontId="8" fillId="33" borderId="0" xfId="62" applyNumberFormat="1" applyFont="1" applyFill="1" applyBorder="1" applyAlignment="1">
      <alignment vertical="center"/>
      <protection/>
    </xf>
    <xf numFmtId="3" fontId="7" fillId="33" borderId="0" xfId="62" applyNumberFormat="1" applyFont="1" applyFill="1" applyBorder="1" applyAlignment="1">
      <alignment vertical="center"/>
      <protection/>
    </xf>
    <xf numFmtId="0" fontId="7" fillId="33" borderId="35" xfId="60" applyFont="1" applyFill="1" applyBorder="1" applyAlignment="1" quotePrefix="1">
      <alignment horizontal="center"/>
      <protection/>
    </xf>
    <xf numFmtId="0" fontId="7" fillId="0" borderId="36" xfId="60" applyFont="1" applyBorder="1" applyAlignment="1">
      <alignment horizontal="center"/>
      <protection/>
    </xf>
    <xf numFmtId="0" fontId="7" fillId="33" borderId="36" xfId="60" applyNumberFormat="1" applyFont="1" applyFill="1" applyBorder="1" applyAlignment="1">
      <alignment horizontal="center"/>
      <protection/>
    </xf>
    <xf numFmtId="0" fontId="7" fillId="35" borderId="0" xfId="60" applyNumberFormat="1" applyFont="1" applyFill="1" applyBorder="1" applyAlignment="1" quotePrefix="1">
      <alignment horizontal="center"/>
      <protection/>
    </xf>
    <xf numFmtId="0" fontId="7" fillId="35" borderId="0" xfId="60" applyNumberFormat="1" applyFont="1" applyFill="1" applyBorder="1" applyAlignment="1">
      <alignment horizontal="center"/>
      <protection/>
    </xf>
    <xf numFmtId="0" fontId="7" fillId="33" borderId="31" xfId="60" applyNumberFormat="1" applyFont="1" applyFill="1" applyBorder="1" applyAlignment="1">
      <alignment horizontal="center"/>
      <protection/>
    </xf>
    <xf numFmtId="164" fontId="7" fillId="36" borderId="35" xfId="62" applyNumberFormat="1" applyFont="1" applyFill="1" applyBorder="1" applyAlignment="1">
      <alignment/>
      <protection/>
    </xf>
    <xf numFmtId="164" fontId="7" fillId="33" borderId="35" xfId="62" applyNumberFormat="1" applyFont="1" applyFill="1" applyBorder="1" applyAlignment="1">
      <alignment/>
      <protection/>
    </xf>
    <xf numFmtId="164" fontId="7" fillId="33" borderId="23" xfId="62" applyNumberFormat="1" applyFont="1" applyFill="1" applyBorder="1" applyAlignment="1">
      <alignment/>
      <protection/>
    </xf>
    <xf numFmtId="0" fontId="7" fillId="33" borderId="35" xfId="60" applyNumberFormat="1" applyFont="1" applyFill="1" applyBorder="1" applyAlignment="1">
      <alignment horizontal="center"/>
      <protection/>
    </xf>
    <xf numFmtId="164" fontId="7" fillId="37" borderId="26" xfId="62" applyNumberFormat="1" applyFont="1" applyFill="1" applyBorder="1" applyAlignment="1">
      <alignment vertical="center"/>
      <protection/>
    </xf>
    <xf numFmtId="164" fontId="7" fillId="37" borderId="33" xfId="62" applyNumberFormat="1" applyFont="1" applyFill="1" applyBorder="1" applyAlignment="1">
      <alignment vertical="center"/>
      <protection/>
    </xf>
    <xf numFmtId="164" fontId="7" fillId="33" borderId="35" xfId="62" applyNumberFormat="1" applyFont="1" applyFill="1" applyBorder="1" applyAlignment="1" quotePrefix="1">
      <alignment/>
      <protection/>
    </xf>
    <xf numFmtId="164" fontId="7" fillId="36" borderId="26" xfId="62" applyNumberFormat="1" applyFont="1" applyFill="1" applyBorder="1" applyAlignment="1">
      <alignment/>
      <protection/>
    </xf>
    <xf numFmtId="164" fontId="7" fillId="38" borderId="33" xfId="62" applyNumberFormat="1" applyFont="1" applyFill="1" applyBorder="1" applyAlignment="1">
      <alignment vertical="center"/>
      <protection/>
    </xf>
    <xf numFmtId="164" fontId="7" fillId="39" borderId="37" xfId="62" applyNumberFormat="1" applyFont="1" applyFill="1" applyBorder="1" applyAlignment="1">
      <alignment/>
      <protection/>
    </xf>
    <xf numFmtId="164" fontId="7" fillId="39" borderId="30" xfId="62" applyNumberFormat="1" applyFont="1" applyFill="1" applyBorder="1" applyAlignment="1">
      <alignment/>
      <protection/>
    </xf>
    <xf numFmtId="164" fontId="7" fillId="33" borderId="30" xfId="62" applyNumberFormat="1" applyFont="1" applyFill="1" applyBorder="1" applyAlignment="1">
      <alignment/>
      <protection/>
    </xf>
    <xf numFmtId="164" fontId="7" fillId="35" borderId="0" xfId="60" applyNumberFormat="1" applyFont="1" applyFill="1" applyBorder="1" applyAlignment="1">
      <alignment vertical="center"/>
      <protection/>
    </xf>
    <xf numFmtId="164" fontId="7" fillId="36" borderId="28" xfId="62" applyNumberFormat="1" applyFont="1" applyFill="1" applyBorder="1">
      <alignment/>
      <protection/>
    </xf>
    <xf numFmtId="0" fontId="7" fillId="33" borderId="28" xfId="60" applyNumberFormat="1" applyFont="1" applyFill="1" applyBorder="1" applyAlignment="1">
      <alignment horizontal="center"/>
      <protection/>
    </xf>
    <xf numFmtId="164" fontId="7" fillId="35" borderId="0" xfId="60" applyNumberFormat="1" applyFont="1" applyFill="1" applyBorder="1">
      <alignment/>
      <protection/>
    </xf>
    <xf numFmtId="164" fontId="7" fillId="33" borderId="38" xfId="62" applyNumberFormat="1" applyFont="1" applyFill="1" applyBorder="1" applyAlignment="1">
      <alignment/>
      <protection/>
    </xf>
    <xf numFmtId="164" fontId="7" fillId="35" borderId="0" xfId="62" applyNumberFormat="1" applyFont="1" applyFill="1" applyBorder="1" applyAlignment="1" quotePrefix="1">
      <alignment/>
      <protection/>
    </xf>
    <xf numFmtId="164" fontId="7" fillId="33" borderId="30" xfId="62" applyNumberFormat="1" applyFont="1" applyFill="1" applyBorder="1" applyAlignment="1">
      <alignment vertical="center"/>
      <protection/>
    </xf>
    <xf numFmtId="164" fontId="7" fillId="33" borderId="39" xfId="62" applyNumberFormat="1" applyFont="1" applyFill="1" applyBorder="1" applyAlignment="1">
      <alignment/>
      <protection/>
    </xf>
    <xf numFmtId="164" fontId="7" fillId="35" borderId="0" xfId="60" applyNumberFormat="1" applyFont="1" applyFill="1" applyBorder="1" applyAlignment="1">
      <alignment/>
      <protection/>
    </xf>
    <xf numFmtId="0" fontId="7" fillId="33" borderId="24" xfId="60" applyNumberFormat="1" applyFont="1" applyFill="1" applyBorder="1" applyAlignment="1">
      <alignment horizontal="center"/>
      <protection/>
    </xf>
    <xf numFmtId="0" fontId="7" fillId="33" borderId="25" xfId="60" applyFont="1" applyFill="1" applyBorder="1" applyAlignment="1">
      <alignment horizontal="center"/>
      <protection/>
    </xf>
    <xf numFmtId="164" fontId="7" fillId="36" borderId="26" xfId="62" applyNumberFormat="1" applyFont="1" applyFill="1" applyBorder="1" applyAlignment="1">
      <alignment vertical="center"/>
      <protection/>
    </xf>
    <xf numFmtId="164" fontId="7" fillId="36" borderId="31" xfId="62" applyNumberFormat="1" applyFont="1" applyFill="1" applyBorder="1" applyAlignment="1">
      <alignment vertical="center"/>
      <protection/>
    </xf>
    <xf numFmtId="164" fontId="7" fillId="33" borderId="31" xfId="60" applyNumberFormat="1" applyFont="1" applyFill="1" applyBorder="1" applyAlignment="1">
      <alignment vertical="center"/>
      <protection/>
    </xf>
    <xf numFmtId="164" fontId="7" fillId="33" borderId="28" xfId="62" applyNumberFormat="1" applyFont="1" applyFill="1" applyBorder="1" applyAlignment="1" quotePrefix="1">
      <alignment/>
      <protection/>
    </xf>
    <xf numFmtId="0" fontId="8" fillId="0" borderId="40" xfId="62" applyFont="1" applyFill="1" applyBorder="1" applyAlignment="1">
      <alignment horizontal="center"/>
      <protection/>
    </xf>
    <xf numFmtId="0" fontId="8" fillId="0" borderId="0" xfId="62" applyFont="1" applyFill="1" applyBorder="1" applyAlignment="1">
      <alignment horizontal="center"/>
      <protection/>
    </xf>
    <xf numFmtId="164" fontId="7" fillId="33" borderId="23" xfId="60" applyNumberFormat="1" applyFont="1" applyFill="1" applyBorder="1" applyAlignment="1">
      <alignment vertical="center"/>
      <protection/>
    </xf>
    <xf numFmtId="164" fontId="7" fillId="36" borderId="41" xfId="62" applyNumberFormat="1" applyFont="1" applyFill="1" applyBorder="1" applyAlignment="1">
      <alignment vertical="center"/>
      <protection/>
    </xf>
    <xf numFmtId="164" fontId="7" fillId="36" borderId="41" xfId="62" applyNumberFormat="1" applyFont="1" applyFill="1" applyBorder="1" applyAlignment="1">
      <alignment vertical="center"/>
      <protection/>
    </xf>
    <xf numFmtId="164" fontId="7" fillId="36" borderId="42" xfId="62" applyNumberFormat="1" applyFont="1" applyFill="1" applyBorder="1">
      <alignment/>
      <protection/>
    </xf>
    <xf numFmtId="164" fontId="7" fillId="36" borderId="41" xfId="62" applyNumberFormat="1" applyFont="1" applyFill="1" applyBorder="1">
      <alignment/>
      <protection/>
    </xf>
    <xf numFmtId="164" fontId="7" fillId="36" borderId="42" xfId="62" applyNumberFormat="1" applyFont="1" applyFill="1" applyBorder="1" applyAlignment="1">
      <alignment vertical="center"/>
      <protection/>
    </xf>
    <xf numFmtId="164" fontId="7" fillId="33" borderId="23" xfId="62" applyNumberFormat="1" applyFont="1" applyFill="1" applyBorder="1" applyAlignment="1" quotePrefix="1">
      <alignment/>
      <protection/>
    </xf>
    <xf numFmtId="0" fontId="7" fillId="0" borderId="38" xfId="60" applyFont="1" applyFill="1" applyBorder="1" applyAlignment="1">
      <alignment horizontal="center"/>
      <protection/>
    </xf>
    <xf numFmtId="0" fontId="7" fillId="0" borderId="30" xfId="60" applyFont="1" applyFill="1" applyBorder="1" applyAlignment="1">
      <alignment horizontal="center"/>
      <protection/>
    </xf>
    <xf numFmtId="0" fontId="7" fillId="0" borderId="20" xfId="60" applyFont="1" applyFill="1" applyBorder="1" applyAlignment="1">
      <alignment horizontal="center"/>
      <protection/>
    </xf>
    <xf numFmtId="0" fontId="7" fillId="0" borderId="39" xfId="60" applyFont="1" applyFill="1" applyBorder="1" applyAlignment="1">
      <alignment horizontal="center"/>
      <protection/>
    </xf>
    <xf numFmtId="0" fontId="7" fillId="0" borderId="17" xfId="60" applyFont="1" applyFill="1" applyBorder="1" applyAlignment="1">
      <alignment horizontal="center"/>
      <protection/>
    </xf>
    <xf numFmtId="0" fontId="7" fillId="33" borderId="43" xfId="60" applyFont="1" applyFill="1" applyBorder="1" applyAlignment="1" quotePrefix="1">
      <alignment horizontal="center"/>
      <protection/>
    </xf>
    <xf numFmtId="0" fontId="7" fillId="33" borderId="21" xfId="60" applyNumberFormat="1" applyFont="1" applyFill="1" applyBorder="1" applyAlignment="1">
      <alignment horizontal="center"/>
      <protection/>
    </xf>
    <xf numFmtId="0" fontId="7" fillId="33" borderId="20" xfId="60" applyFont="1" applyFill="1" applyBorder="1" applyAlignment="1">
      <alignment horizontal="center"/>
      <protection/>
    </xf>
    <xf numFmtId="164" fontId="7" fillId="33" borderId="21" xfId="62" applyNumberFormat="1" applyFont="1" applyFill="1" applyBorder="1" applyAlignment="1">
      <alignment/>
      <protection/>
    </xf>
    <xf numFmtId="164" fontId="7" fillId="36" borderId="44" xfId="62" applyNumberFormat="1" applyFont="1" applyFill="1" applyBorder="1">
      <alignment/>
      <protection/>
    </xf>
    <xf numFmtId="164" fontId="7" fillId="33" borderId="45" xfId="62" applyNumberFormat="1" applyFont="1" applyFill="1" applyBorder="1" applyAlignment="1" quotePrefix="1">
      <alignment/>
      <protection/>
    </xf>
    <xf numFmtId="164" fontId="7" fillId="33" borderId="21" xfId="62" applyNumberFormat="1" applyFont="1" applyFill="1" applyBorder="1" applyAlignment="1" quotePrefix="1">
      <alignment/>
      <protection/>
    </xf>
    <xf numFmtId="164" fontId="7" fillId="33" borderId="46" xfId="62" applyNumberFormat="1" applyFont="1" applyFill="1" applyBorder="1" applyAlignment="1">
      <alignment/>
      <protection/>
    </xf>
    <xf numFmtId="164" fontId="7" fillId="36" borderId="31" xfId="62" applyNumberFormat="1" applyFont="1" applyFill="1" applyBorder="1">
      <alignment/>
      <protection/>
    </xf>
    <xf numFmtId="164" fontId="7" fillId="33" borderId="47" xfId="62" applyNumberFormat="1" applyFont="1" applyFill="1" applyBorder="1" applyAlignment="1">
      <alignment/>
      <protection/>
    </xf>
    <xf numFmtId="0" fontId="7" fillId="33" borderId="48" xfId="62" applyFont="1" applyFill="1" applyBorder="1" applyAlignment="1">
      <alignment horizontal="center"/>
      <protection/>
    </xf>
    <xf numFmtId="0" fontId="7" fillId="33" borderId="24" xfId="62" applyFont="1" applyFill="1" applyBorder="1" applyAlignment="1">
      <alignment horizontal="center"/>
      <protection/>
    </xf>
    <xf numFmtId="0" fontId="8" fillId="34" borderId="49" xfId="62" applyFont="1" applyFill="1" applyBorder="1" applyAlignment="1" quotePrefix="1">
      <alignment horizontal="center"/>
      <protection/>
    </xf>
    <xf numFmtId="0" fontId="8" fillId="34" borderId="50" xfId="62" applyFont="1" applyFill="1" applyBorder="1" applyAlignment="1">
      <alignment horizontal="center"/>
      <protection/>
    </xf>
    <xf numFmtId="1" fontId="8" fillId="34" borderId="41" xfId="62" applyNumberFormat="1" applyFont="1" applyFill="1" applyBorder="1" applyAlignment="1">
      <alignment horizontal="center"/>
      <protection/>
    </xf>
    <xf numFmtId="164" fontId="7" fillId="36" borderId="50" xfId="62" applyNumberFormat="1" applyFont="1" applyFill="1" applyBorder="1">
      <alignment/>
      <protection/>
    </xf>
    <xf numFmtId="164" fontId="7" fillId="36" borderId="42" xfId="62" applyNumberFormat="1" applyFont="1" applyFill="1" applyBorder="1" applyAlignment="1">
      <alignment/>
      <protection/>
    </xf>
    <xf numFmtId="164" fontId="7" fillId="36" borderId="42" xfId="62" applyNumberFormat="1" applyFont="1" applyFill="1" applyBorder="1" applyAlignment="1">
      <alignment vertical="center"/>
      <protection/>
    </xf>
    <xf numFmtId="0" fontId="7" fillId="0" borderId="36" xfId="60" applyNumberFormat="1" applyFont="1" applyFill="1" applyBorder="1" applyAlignment="1">
      <alignment horizontal="center"/>
      <protection/>
    </xf>
    <xf numFmtId="164" fontId="7" fillId="36" borderId="33" xfId="62" applyNumberFormat="1" applyFont="1" applyFill="1" applyBorder="1" applyAlignment="1">
      <alignment/>
      <protection/>
    </xf>
    <xf numFmtId="0" fontId="7" fillId="33" borderId="36" xfId="60" applyFont="1" applyFill="1" applyBorder="1" applyAlignment="1" quotePrefix="1">
      <alignment horizontal="center"/>
      <protection/>
    </xf>
    <xf numFmtId="164" fontId="7" fillId="33" borderId="35" xfId="60" applyNumberFormat="1" applyFont="1" applyFill="1" applyBorder="1" applyAlignment="1">
      <alignment vertical="center"/>
      <protection/>
    </xf>
    <xf numFmtId="49" fontId="7" fillId="0" borderId="22" xfId="60" applyNumberFormat="1" applyFont="1" applyFill="1" applyBorder="1" applyAlignment="1">
      <alignment horizontal="center"/>
      <protection/>
    </xf>
    <xf numFmtId="49" fontId="7" fillId="0" borderId="16" xfId="60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1" fillId="33" borderId="0" xfId="60" applyFont="1" applyFill="1" applyBorder="1" applyAlignment="1">
      <alignment horizontal="left"/>
      <protection/>
    </xf>
    <xf numFmtId="0" fontId="1" fillId="33" borderId="0" xfId="60" applyFill="1" applyBorder="1" applyAlignment="1" quotePrefix="1">
      <alignment horizontal="left"/>
      <protection/>
    </xf>
    <xf numFmtId="0" fontId="1" fillId="33" borderId="51" xfId="62" applyFill="1" applyBorder="1">
      <alignment/>
      <protection/>
    </xf>
    <xf numFmtId="164" fontId="7" fillId="36" borderId="44" xfId="62" applyNumberFormat="1" applyFont="1" applyFill="1" applyBorder="1" applyAlignment="1">
      <alignment vertical="center"/>
      <protection/>
    </xf>
    <xf numFmtId="164" fontId="7" fillId="33" borderId="23" xfId="60" applyNumberFormat="1" applyFont="1" applyFill="1" applyBorder="1" applyAlignment="1">
      <alignment vertical="center"/>
      <protection/>
    </xf>
    <xf numFmtId="164" fontId="7" fillId="36" borderId="28" xfId="62" applyNumberFormat="1" applyFont="1" applyFill="1" applyBorder="1" applyAlignment="1">
      <alignment vertical="center"/>
      <protection/>
    </xf>
    <xf numFmtId="49" fontId="7" fillId="0" borderId="34" xfId="60" applyNumberFormat="1" applyFont="1" applyFill="1" applyBorder="1" applyAlignment="1">
      <alignment horizontal="center"/>
      <protection/>
    </xf>
    <xf numFmtId="49" fontId="7" fillId="0" borderId="52" xfId="60" applyNumberFormat="1" applyFont="1" applyFill="1" applyBorder="1" applyAlignment="1">
      <alignment horizontal="center"/>
      <protection/>
    </xf>
    <xf numFmtId="164" fontId="7" fillId="33" borderId="38" xfId="62" applyNumberFormat="1" applyFont="1" applyFill="1" applyBorder="1" applyAlignment="1">
      <alignment vertical="center"/>
      <protection/>
    </xf>
    <xf numFmtId="0" fontId="7" fillId="0" borderId="48" xfId="60" applyNumberFormat="1" applyFont="1" applyFill="1" applyBorder="1" applyAlignment="1">
      <alignment horizontal="center"/>
      <protection/>
    </xf>
    <xf numFmtId="0" fontId="7" fillId="0" borderId="24" xfId="60" applyNumberFormat="1" applyFont="1" applyFill="1" applyBorder="1" applyAlignment="1">
      <alignment horizontal="center"/>
      <protection/>
    </xf>
    <xf numFmtId="0" fontId="7" fillId="0" borderId="35" xfId="60" applyNumberFormat="1" applyFont="1" applyFill="1" applyBorder="1" applyAlignment="1">
      <alignment horizontal="center"/>
      <protection/>
    </xf>
    <xf numFmtId="0" fontId="7" fillId="0" borderId="36" xfId="60" applyNumberFormat="1" applyFont="1" applyFill="1" applyBorder="1" applyAlignment="1">
      <alignment horizontal="center" vertical="center"/>
      <protection/>
    </xf>
    <xf numFmtId="0" fontId="7" fillId="0" borderId="31" xfId="60" applyNumberFormat="1" applyFont="1" applyFill="1" applyBorder="1" applyAlignment="1">
      <alignment horizontal="center"/>
      <protection/>
    </xf>
    <xf numFmtId="0" fontId="7" fillId="0" borderId="36" xfId="60" applyNumberFormat="1" applyFont="1" applyFill="1" applyBorder="1" applyAlignment="1">
      <alignment horizontal="center"/>
      <protection/>
    </xf>
    <xf numFmtId="0" fontId="7" fillId="40" borderId="0" xfId="60" applyNumberFormat="1" applyFont="1" applyFill="1" applyBorder="1" applyAlignment="1" quotePrefix="1">
      <alignment horizontal="center"/>
      <protection/>
    </xf>
    <xf numFmtId="164" fontId="7" fillId="33" borderId="45" xfId="62" applyNumberFormat="1" applyFont="1" applyFill="1" applyBorder="1" applyAlignment="1">
      <alignment/>
      <protection/>
    </xf>
    <xf numFmtId="0" fontId="1" fillId="35" borderId="53" xfId="60" applyFont="1" applyFill="1" applyBorder="1">
      <alignment/>
      <protection/>
    </xf>
    <xf numFmtId="164" fontId="7" fillId="41" borderId="35" xfId="62" applyNumberFormat="1" applyFont="1" applyFill="1" applyBorder="1" applyAlignment="1">
      <alignment/>
      <protection/>
    </xf>
    <xf numFmtId="164" fontId="7" fillId="41" borderId="31" xfId="62" applyNumberFormat="1" applyFont="1" applyFill="1" applyBorder="1" applyAlignment="1">
      <alignment/>
      <protection/>
    </xf>
    <xf numFmtId="164" fontId="7" fillId="41" borderId="23" xfId="62" applyNumberFormat="1" applyFont="1" applyFill="1" applyBorder="1" applyAlignment="1">
      <alignment/>
      <protection/>
    </xf>
    <xf numFmtId="164" fontId="7" fillId="41" borderId="28" xfId="62" applyNumberFormat="1" applyFont="1" applyFill="1" applyBorder="1" applyAlignment="1">
      <alignment/>
      <protection/>
    </xf>
    <xf numFmtId="164" fontId="7" fillId="41" borderId="45" xfId="62" applyNumberFormat="1" applyFont="1" applyFill="1" applyBorder="1" applyAlignment="1">
      <alignment/>
      <protection/>
    </xf>
    <xf numFmtId="164" fontId="7" fillId="41" borderId="21" xfId="62" applyNumberFormat="1" applyFont="1" applyFill="1" applyBorder="1" applyAlignment="1">
      <alignment/>
      <protection/>
    </xf>
    <xf numFmtId="164" fontId="7" fillId="41" borderId="36" xfId="62" applyNumberFormat="1" applyFont="1" applyFill="1" applyBorder="1" applyAlignment="1">
      <alignment/>
      <protection/>
    </xf>
    <xf numFmtId="164" fontId="7" fillId="41" borderId="48" xfId="62" applyNumberFormat="1" applyFont="1" applyFill="1" applyBorder="1" applyAlignment="1">
      <alignment/>
      <protection/>
    </xf>
    <xf numFmtId="164" fontId="7" fillId="41" borderId="24" xfId="62" applyNumberFormat="1" applyFont="1" applyFill="1" applyBorder="1" applyAlignment="1">
      <alignment/>
      <protection/>
    </xf>
    <xf numFmtId="164" fontId="7" fillId="41" borderId="35" xfId="61" applyNumberFormat="1" applyFont="1" applyFill="1" applyBorder="1" applyAlignment="1">
      <alignment/>
      <protection/>
    </xf>
    <xf numFmtId="164" fontId="7" fillId="41" borderId="35" xfId="60" applyNumberFormat="1" applyFont="1" applyFill="1" applyBorder="1" applyAlignment="1">
      <alignment vertical="center"/>
      <protection/>
    </xf>
    <xf numFmtId="164" fontId="7" fillId="41" borderId="31" xfId="60" applyNumberFormat="1" applyFont="1" applyFill="1" applyBorder="1" applyAlignment="1">
      <alignment vertical="center"/>
      <protection/>
    </xf>
    <xf numFmtId="164" fontId="7" fillId="41" borderId="35" xfId="62" applyNumberFormat="1" applyFont="1" applyFill="1" applyBorder="1" applyAlignment="1">
      <alignment vertical="center"/>
      <protection/>
    </xf>
    <xf numFmtId="164" fontId="7" fillId="41" borderId="27" xfId="62" applyNumberFormat="1" applyFont="1" applyFill="1" applyBorder="1" applyAlignment="1">
      <alignment/>
      <protection/>
    </xf>
    <xf numFmtId="164" fontId="7" fillId="41" borderId="54" xfId="62" applyNumberFormat="1" applyFont="1" applyFill="1" applyBorder="1" applyAlignment="1">
      <alignment/>
      <protection/>
    </xf>
    <xf numFmtId="164" fontId="7" fillId="41" borderId="37" xfId="62" applyNumberFormat="1" applyFont="1" applyFill="1" applyBorder="1" applyAlignment="1">
      <alignment/>
      <protection/>
    </xf>
    <xf numFmtId="164" fontId="7" fillId="41" borderId="37" xfId="62" applyNumberFormat="1" applyFont="1" applyFill="1" applyBorder="1" applyAlignment="1">
      <alignment vertical="center"/>
      <protection/>
    </xf>
    <xf numFmtId="164" fontId="7" fillId="41" borderId="31" xfId="62" applyNumberFormat="1" applyFont="1" applyFill="1" applyBorder="1" applyAlignment="1">
      <alignment vertical="center"/>
      <protection/>
    </xf>
    <xf numFmtId="164" fontId="7" fillId="41" borderId="28" xfId="62" applyNumberFormat="1" applyFont="1" applyFill="1" applyBorder="1" applyAlignment="1">
      <alignment vertical="center"/>
      <protection/>
    </xf>
    <xf numFmtId="164" fontId="7" fillId="41" borderId="35" xfId="62" applyNumberFormat="1" applyFont="1" applyFill="1" applyBorder="1" applyAlignment="1" quotePrefix="1">
      <alignment/>
      <protection/>
    </xf>
    <xf numFmtId="164" fontId="7" fillId="41" borderId="31" xfId="62" applyNumberFormat="1" applyFont="1" applyFill="1" applyBorder="1" applyAlignment="1" quotePrefix="1">
      <alignment/>
      <protection/>
    </xf>
    <xf numFmtId="164" fontId="7" fillId="41" borderId="28" xfId="62" applyNumberFormat="1" applyFont="1" applyFill="1" applyBorder="1" applyAlignment="1" quotePrefix="1">
      <alignment/>
      <protection/>
    </xf>
    <xf numFmtId="164" fontId="7" fillId="41" borderId="21" xfId="62" applyNumberFormat="1" applyFont="1" applyFill="1" applyBorder="1" applyAlignment="1" quotePrefix="1">
      <alignment/>
      <protection/>
    </xf>
    <xf numFmtId="164" fontId="7" fillId="41" borderId="30" xfId="61" applyNumberFormat="1" applyFont="1" applyFill="1" applyBorder="1" applyAlignment="1">
      <alignment/>
      <protection/>
    </xf>
    <xf numFmtId="164" fontId="7" fillId="41" borderId="19" xfId="62" applyNumberFormat="1" applyFont="1" applyFill="1" applyBorder="1" applyAlignment="1">
      <alignment/>
      <protection/>
    </xf>
    <xf numFmtId="164" fontId="7" fillId="41" borderId="37" xfId="60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14" fontId="7" fillId="35" borderId="29" xfId="62" applyNumberFormat="1" applyFont="1" applyFill="1" applyBorder="1" applyAlignment="1" quotePrefix="1">
      <alignment horizontal="left"/>
      <protection/>
    </xf>
    <xf numFmtId="0" fontId="7" fillId="0" borderId="24" xfId="60" applyFont="1" applyBorder="1" applyAlignment="1">
      <alignment horizontal="center"/>
      <protection/>
    </xf>
    <xf numFmtId="164" fontId="7" fillId="41" borderId="28" xfId="60" applyNumberFormat="1" applyFont="1" applyFill="1" applyBorder="1" applyAlignment="1">
      <alignment vertical="center"/>
      <protection/>
    </xf>
    <xf numFmtId="0" fontId="7" fillId="0" borderId="0" xfId="60" applyNumberFormat="1" applyFont="1" applyFill="1" applyBorder="1" applyAlignment="1">
      <alignment horizontal="center"/>
      <protection/>
    </xf>
    <xf numFmtId="164" fontId="7" fillId="36" borderId="50" xfId="62" applyNumberFormat="1" applyFont="1" applyFill="1" applyBorder="1" applyAlignment="1">
      <alignment horizontal="right"/>
      <protection/>
    </xf>
    <xf numFmtId="164" fontId="7" fillId="33" borderId="0" xfId="62" applyNumberFormat="1" applyFont="1" applyFill="1" applyBorder="1" applyAlignment="1">
      <alignment horizontal="right"/>
      <protection/>
    </xf>
    <xf numFmtId="164" fontId="7" fillId="33" borderId="55" xfId="62" applyNumberFormat="1" applyFont="1" applyFill="1" applyBorder="1" applyAlignment="1">
      <alignment horizontal="right"/>
      <protection/>
    </xf>
    <xf numFmtId="164" fontId="7" fillId="33" borderId="47" xfId="62" applyNumberFormat="1" applyFont="1" applyFill="1" applyBorder="1" applyAlignment="1">
      <alignment horizontal="right"/>
      <protection/>
    </xf>
    <xf numFmtId="164" fontId="7" fillId="36" borderId="55" xfId="62" applyNumberFormat="1" applyFont="1" applyFill="1" applyBorder="1" applyAlignment="1">
      <alignment horizontal="right"/>
      <protection/>
    </xf>
    <xf numFmtId="164" fontId="7" fillId="41" borderId="35" xfId="62" applyNumberFormat="1" applyFont="1" applyFill="1" applyBorder="1" applyAlignment="1">
      <alignment vertical="center"/>
      <protection/>
    </xf>
    <xf numFmtId="164" fontId="8" fillId="41" borderId="31" xfId="62" applyNumberFormat="1" applyFont="1" applyFill="1" applyBorder="1" applyAlignment="1">
      <alignment vertical="center"/>
      <protection/>
    </xf>
    <xf numFmtId="164" fontId="8" fillId="41" borderId="28" xfId="62" applyNumberFormat="1" applyFont="1" applyFill="1" applyBorder="1" applyAlignment="1">
      <alignment vertical="center"/>
      <protection/>
    </xf>
    <xf numFmtId="164" fontId="7" fillId="41" borderId="31" xfId="60" applyNumberFormat="1" applyFont="1" applyFill="1" applyBorder="1" applyAlignment="1">
      <alignment vertical="center"/>
      <protection/>
    </xf>
    <xf numFmtId="164" fontId="8" fillId="41" borderId="31" xfId="60" applyNumberFormat="1" applyFont="1" applyFill="1" applyBorder="1" applyAlignment="1">
      <alignment vertical="center"/>
      <protection/>
    </xf>
    <xf numFmtId="164" fontId="7" fillId="41" borderId="28" xfId="60" applyNumberFormat="1" applyFont="1" applyFill="1" applyBorder="1" applyAlignment="1">
      <alignment vertical="center"/>
      <protection/>
    </xf>
    <xf numFmtId="164" fontId="8" fillId="41" borderId="28" xfId="60" applyNumberFormat="1" applyFont="1" applyFill="1" applyBorder="1" applyAlignment="1">
      <alignment vertical="center"/>
      <protection/>
    </xf>
    <xf numFmtId="164" fontId="7" fillId="41" borderId="25" xfId="62" applyNumberFormat="1" applyFont="1" applyFill="1" applyBorder="1" applyAlignment="1">
      <alignment/>
      <protection/>
    </xf>
    <xf numFmtId="164" fontId="7" fillId="41" borderId="55" xfId="62" applyNumberFormat="1" applyFont="1" applyFill="1" applyBorder="1" applyAlignment="1">
      <alignment/>
      <protection/>
    </xf>
    <xf numFmtId="164" fontId="7" fillId="41" borderId="25" xfId="60" applyNumberFormat="1" applyFont="1" applyFill="1" applyBorder="1" applyAlignment="1">
      <alignment vertical="center"/>
      <protection/>
    </xf>
    <xf numFmtId="164" fontId="7" fillId="41" borderId="30" xfId="60" applyNumberFormat="1" applyFont="1" applyFill="1" applyBorder="1" applyAlignment="1">
      <alignment vertical="center"/>
      <protection/>
    </xf>
    <xf numFmtId="164" fontId="7" fillId="41" borderId="27" xfId="62" applyNumberFormat="1" applyFont="1" applyFill="1" applyBorder="1" applyAlignment="1">
      <alignment vertical="center"/>
      <protection/>
    </xf>
    <xf numFmtId="164" fontId="7" fillId="41" borderId="25" xfId="62" applyNumberFormat="1" applyFont="1" applyFill="1" applyBorder="1" applyAlignment="1">
      <alignment vertical="center"/>
      <protection/>
    </xf>
    <xf numFmtId="164" fontId="7" fillId="42" borderId="30" xfId="62" applyNumberFormat="1" applyFont="1" applyFill="1" applyBorder="1" applyAlignment="1">
      <alignment/>
      <protection/>
    </xf>
    <xf numFmtId="164" fontId="7" fillId="41" borderId="30" xfId="62" applyNumberFormat="1" applyFont="1" applyFill="1" applyBorder="1" applyAlignment="1">
      <alignment/>
      <protection/>
    </xf>
    <xf numFmtId="0" fontId="7" fillId="33" borderId="33" xfId="60" applyFont="1" applyFill="1" applyBorder="1" applyAlignment="1">
      <alignment horizontal="center"/>
      <protection/>
    </xf>
    <xf numFmtId="0" fontId="7" fillId="33" borderId="26" xfId="60" applyFont="1" applyFill="1" applyBorder="1" applyAlignment="1">
      <alignment horizontal="center"/>
      <protection/>
    </xf>
    <xf numFmtId="164" fontId="7" fillId="41" borderId="38" xfId="62" applyNumberFormat="1" applyFont="1" applyFill="1" applyBorder="1" applyAlignment="1">
      <alignment/>
      <protection/>
    </xf>
    <xf numFmtId="0" fontId="7" fillId="0" borderId="28" xfId="60" applyNumberFormat="1" applyFont="1" applyFill="1" applyBorder="1" applyAlignment="1">
      <alignment horizontal="center"/>
      <protection/>
    </xf>
    <xf numFmtId="0" fontId="7" fillId="33" borderId="24" xfId="60" applyFont="1" applyFill="1" applyBorder="1" applyAlignment="1">
      <alignment horizontal="center"/>
      <protection/>
    </xf>
    <xf numFmtId="0" fontId="7" fillId="0" borderId="25" xfId="60" applyFont="1" applyFill="1" applyBorder="1" applyAlignment="1" quotePrefix="1">
      <alignment horizontal="center"/>
      <protection/>
    </xf>
    <xf numFmtId="0" fontId="5" fillId="33" borderId="0" xfId="62" applyFont="1" applyFill="1" applyBorder="1" applyAlignment="1">
      <alignment horizontal="left"/>
      <protection/>
    </xf>
    <xf numFmtId="0" fontId="8" fillId="34" borderId="56" xfId="62" applyFont="1" applyFill="1" applyBorder="1" applyAlignment="1" quotePrefix="1">
      <alignment horizontal="center"/>
      <protection/>
    </xf>
    <xf numFmtId="0" fontId="8" fillId="34" borderId="57" xfId="62" applyFont="1" applyFill="1" applyBorder="1" applyAlignment="1">
      <alignment horizontal="center"/>
      <protection/>
    </xf>
    <xf numFmtId="1" fontId="8" fillId="34" borderId="58" xfId="62" applyNumberFormat="1" applyFont="1" applyFill="1" applyBorder="1" applyAlignment="1">
      <alignment horizontal="center"/>
      <protection/>
    </xf>
    <xf numFmtId="14" fontId="7" fillId="35" borderId="59" xfId="62" applyNumberFormat="1" applyFont="1" applyFill="1" applyBorder="1" applyAlignment="1" quotePrefix="1">
      <alignment horizontal="left"/>
      <protection/>
    </xf>
    <xf numFmtId="0" fontId="1" fillId="0" borderId="57" xfId="63" applyBorder="1">
      <alignment/>
      <protection/>
    </xf>
    <xf numFmtId="1" fontId="7" fillId="0" borderId="34" xfId="0" applyNumberFormat="1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" fillId="0" borderId="57" xfId="60" applyBorder="1">
      <alignment/>
      <protection/>
    </xf>
    <xf numFmtId="0" fontId="6" fillId="33" borderId="51" xfId="62" applyFont="1" applyFill="1" applyBorder="1" applyAlignment="1" quotePrefix="1">
      <alignment horizontal="left"/>
      <protection/>
    </xf>
    <xf numFmtId="0" fontId="15" fillId="0" borderId="34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left" vertical="center"/>
    </xf>
    <xf numFmtId="164" fontId="7" fillId="36" borderId="50" xfId="62" applyNumberFormat="1" applyFont="1" applyFill="1" applyBorder="1" applyAlignment="1">
      <alignment vertical="center"/>
      <protection/>
    </xf>
    <xf numFmtId="0" fontId="7" fillId="33" borderId="18" xfId="60" applyFont="1" applyFill="1" applyBorder="1" applyAlignment="1">
      <alignment horizontal="center"/>
      <protection/>
    </xf>
    <xf numFmtId="0" fontId="7" fillId="33" borderId="17" xfId="60" applyFont="1" applyFill="1" applyBorder="1" applyAlignment="1">
      <alignment horizontal="center"/>
      <protection/>
    </xf>
    <xf numFmtId="164" fontId="7" fillId="33" borderId="40" xfId="60" applyNumberFormat="1" applyFont="1" applyFill="1" applyBorder="1" applyAlignment="1">
      <alignment vertical="center"/>
      <protection/>
    </xf>
    <xf numFmtId="164" fontId="7" fillId="33" borderId="55" xfId="60" applyNumberFormat="1" applyFont="1" applyFill="1" applyBorder="1" applyAlignment="1">
      <alignment vertical="center"/>
      <protection/>
    </xf>
    <xf numFmtId="164" fontId="7" fillId="36" borderId="55" xfId="62" applyNumberFormat="1" applyFont="1" applyFill="1" applyBorder="1" applyAlignment="1">
      <alignment vertical="center"/>
      <protection/>
    </xf>
    <xf numFmtId="164" fontId="7" fillId="41" borderId="55" xfId="60" applyNumberFormat="1" applyFont="1" applyFill="1" applyBorder="1" applyAlignment="1">
      <alignment vertical="center"/>
      <protection/>
    </xf>
    <xf numFmtId="164" fontId="8" fillId="41" borderId="55" xfId="60" applyNumberFormat="1" applyFont="1" applyFill="1" applyBorder="1" applyAlignment="1">
      <alignment vertical="center"/>
      <protection/>
    </xf>
    <xf numFmtId="164" fontId="8" fillId="41" borderId="55" xfId="62" applyNumberFormat="1" applyFont="1" applyFill="1" applyBorder="1" applyAlignment="1">
      <alignment vertical="center"/>
      <protection/>
    </xf>
    <xf numFmtId="1" fontId="7" fillId="0" borderId="60" xfId="0" applyNumberFormat="1" applyFont="1" applyFill="1" applyBorder="1" applyAlignment="1">
      <alignment horizontal="center"/>
    </xf>
    <xf numFmtId="49" fontId="7" fillId="0" borderId="61" xfId="0" applyNumberFormat="1" applyFont="1" applyFill="1" applyBorder="1" applyAlignment="1">
      <alignment horizontal="center"/>
    </xf>
    <xf numFmtId="164" fontId="7" fillId="41" borderId="23" xfId="62" applyNumberFormat="1" applyFont="1" applyFill="1" applyBorder="1" applyAlignment="1">
      <alignment vertical="center"/>
      <protection/>
    </xf>
    <xf numFmtId="164" fontId="7" fillId="41" borderId="40" xfId="62" applyNumberFormat="1" applyFont="1" applyFill="1" applyBorder="1" applyAlignment="1">
      <alignment horizontal="right"/>
      <protection/>
    </xf>
    <xf numFmtId="164" fontId="7" fillId="41" borderId="23" xfId="60" applyNumberFormat="1" applyFont="1" applyFill="1" applyBorder="1" applyAlignment="1">
      <alignment vertical="center"/>
      <protection/>
    </xf>
    <xf numFmtId="164" fontId="7" fillId="41" borderId="27" xfId="60" applyNumberFormat="1" applyFont="1" applyFill="1" applyBorder="1" applyAlignment="1">
      <alignment vertical="center"/>
      <protection/>
    </xf>
    <xf numFmtId="164" fontId="7" fillId="41" borderId="31" xfId="61" applyNumberFormat="1" applyFont="1" applyFill="1" applyBorder="1" applyAlignment="1">
      <alignment/>
      <protection/>
    </xf>
    <xf numFmtId="164" fontId="7" fillId="35" borderId="62" xfId="62" applyNumberFormat="1" applyFont="1" applyFill="1" applyBorder="1" applyAlignment="1">
      <alignment vertical="center"/>
      <protection/>
    </xf>
    <xf numFmtId="0" fontId="7" fillId="33" borderId="33" xfId="60" applyFont="1" applyFill="1" applyBorder="1" applyAlignment="1" quotePrefix="1">
      <alignment horizontal="center" vertical="center"/>
      <protection/>
    </xf>
    <xf numFmtId="0" fontId="7" fillId="0" borderId="38" xfId="60" applyFont="1" applyFill="1" applyBorder="1" applyAlignment="1">
      <alignment horizontal="center" vertical="center"/>
      <protection/>
    </xf>
    <xf numFmtId="164" fontId="7" fillId="41" borderId="25" xfId="60" applyNumberFormat="1" applyFont="1" applyFill="1" applyBorder="1" applyAlignment="1">
      <alignment vertical="center"/>
      <protection/>
    </xf>
    <xf numFmtId="164" fontId="7" fillId="41" borderId="30" xfId="60" applyNumberFormat="1" applyFont="1" applyFill="1" applyBorder="1" applyAlignment="1">
      <alignment vertical="center"/>
      <protection/>
    </xf>
    <xf numFmtId="164" fontId="7" fillId="41" borderId="17" xfId="60" applyNumberFormat="1" applyFont="1" applyFill="1" applyBorder="1" applyAlignment="1">
      <alignment vertical="center"/>
      <protection/>
    </xf>
    <xf numFmtId="164" fontId="7" fillId="41" borderId="30" xfId="62" applyNumberFormat="1" applyFont="1" applyFill="1" applyBorder="1" applyAlignment="1">
      <alignment vertical="center"/>
      <protection/>
    </xf>
    <xf numFmtId="164" fontId="7" fillId="41" borderId="54" xfId="62" applyNumberFormat="1" applyFont="1" applyFill="1" applyBorder="1" applyAlignment="1">
      <alignment vertical="center"/>
      <protection/>
    </xf>
    <xf numFmtId="164" fontId="7" fillId="36" borderId="33" xfId="62" applyNumberFormat="1" applyFont="1" applyFill="1" applyBorder="1">
      <alignment/>
      <protection/>
    </xf>
    <xf numFmtId="0" fontId="7" fillId="0" borderId="33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164" fontId="7" fillId="41" borderId="20" xfId="62" applyNumberFormat="1" applyFont="1" applyFill="1" applyBorder="1" applyAlignment="1">
      <alignment vertical="center"/>
      <protection/>
    </xf>
    <xf numFmtId="164" fontId="7" fillId="41" borderId="30" xfId="61" applyNumberFormat="1" applyFont="1" applyFill="1" applyBorder="1" applyAlignment="1">
      <alignment vertical="center"/>
      <protection/>
    </xf>
    <xf numFmtId="1" fontId="7" fillId="0" borderId="61" xfId="0" applyNumberFormat="1" applyFont="1" applyFill="1" applyBorder="1" applyAlignment="1">
      <alignment horizontal="center"/>
    </xf>
    <xf numFmtId="164" fontId="7" fillId="41" borderId="30" xfId="62" applyNumberFormat="1" applyFont="1" applyFill="1" applyBorder="1" applyAlignment="1" quotePrefix="1">
      <alignment/>
      <protection/>
    </xf>
    <xf numFmtId="0" fontId="15" fillId="0" borderId="33" xfId="0" applyFont="1" applyFill="1" applyBorder="1" applyAlignment="1">
      <alignment vertical="center" wrapText="1"/>
    </xf>
    <xf numFmtId="0" fontId="7" fillId="33" borderId="36" xfId="60" applyFont="1" applyFill="1" applyBorder="1" applyAlignment="1" quotePrefix="1">
      <alignment horizontal="center" vertical="center"/>
      <protection/>
    </xf>
    <xf numFmtId="0" fontId="7" fillId="33" borderId="31" xfId="60" applyNumberFormat="1" applyFont="1" applyFill="1" applyBorder="1" applyAlignment="1">
      <alignment horizontal="center" vertical="center"/>
      <protection/>
    </xf>
    <xf numFmtId="0" fontId="7" fillId="33" borderId="30" xfId="60" applyFont="1" applyFill="1" applyBorder="1" applyAlignment="1">
      <alignment horizontal="center" vertical="center"/>
      <protection/>
    </xf>
    <xf numFmtId="0" fontId="15" fillId="0" borderId="42" xfId="0" applyFont="1" applyBorder="1" applyAlignment="1">
      <alignment/>
    </xf>
    <xf numFmtId="0" fontId="15" fillId="0" borderId="52" xfId="0" applyFont="1" applyFill="1" applyBorder="1" applyAlignment="1">
      <alignment horizontal="center" vertical="center"/>
    </xf>
    <xf numFmtId="0" fontId="7" fillId="0" borderId="46" xfId="60" applyFont="1" applyFill="1" applyBorder="1" applyAlignment="1">
      <alignment horizontal="center"/>
      <protection/>
    </xf>
    <xf numFmtId="164" fontId="7" fillId="41" borderId="20" xfId="61" applyNumberFormat="1" applyFont="1" applyFill="1" applyBorder="1" applyAlignment="1">
      <alignment/>
      <protection/>
    </xf>
    <xf numFmtId="164" fontId="7" fillId="36" borderId="44" xfId="62" applyNumberFormat="1" applyFont="1" applyFill="1" applyBorder="1" applyAlignment="1">
      <alignment/>
      <protection/>
    </xf>
    <xf numFmtId="164" fontId="7" fillId="41" borderId="46" xfId="62" applyNumberFormat="1" applyFont="1" applyFill="1" applyBorder="1" applyAlignment="1">
      <alignment/>
      <protection/>
    </xf>
    <xf numFmtId="0" fontId="7" fillId="0" borderId="23" xfId="60" applyNumberFormat="1" applyFont="1" applyFill="1" applyBorder="1" applyAlignment="1">
      <alignment horizontal="center"/>
      <protection/>
    </xf>
    <xf numFmtId="164" fontId="7" fillId="36" borderId="23" xfId="62" applyNumberFormat="1" applyFont="1" applyFill="1" applyBorder="1" applyAlignment="1">
      <alignment/>
      <protection/>
    </xf>
    <xf numFmtId="164" fontId="7" fillId="41" borderId="25" xfId="61" applyNumberFormat="1" applyFont="1" applyFill="1" applyBorder="1" applyAlignment="1">
      <alignment/>
      <protection/>
    </xf>
    <xf numFmtId="164" fontId="7" fillId="41" borderId="28" xfId="61" applyNumberFormat="1" applyFont="1" applyFill="1" applyBorder="1" applyAlignment="1">
      <alignment/>
      <protection/>
    </xf>
    <xf numFmtId="164" fontId="7" fillId="41" borderId="40" xfId="62" applyNumberFormat="1" applyFont="1" applyFill="1" applyBorder="1" applyAlignment="1">
      <alignment/>
      <protection/>
    </xf>
    <xf numFmtId="0" fontId="7" fillId="0" borderId="25" xfId="60" applyFont="1" applyFill="1" applyBorder="1" applyAlignment="1">
      <alignment horizontal="center"/>
      <protection/>
    </xf>
    <xf numFmtId="164" fontId="7" fillId="41" borderId="23" xfId="62" applyNumberFormat="1" applyFont="1" applyFill="1" applyBorder="1" applyAlignment="1" quotePrefix="1">
      <alignment/>
      <protection/>
    </xf>
    <xf numFmtId="164" fontId="7" fillId="41" borderId="36" xfId="62" applyNumberFormat="1" applyFont="1" applyFill="1" applyBorder="1" applyAlignment="1">
      <alignment vertical="center"/>
      <protection/>
    </xf>
    <xf numFmtId="49" fontId="7" fillId="0" borderId="61" xfId="0" applyNumberFormat="1" applyFont="1" applyFill="1" applyBorder="1" applyAlignment="1">
      <alignment horizontal="center" vertical="center"/>
    </xf>
    <xf numFmtId="0" fontId="7" fillId="0" borderId="30" xfId="60" applyFont="1" applyFill="1" applyBorder="1" applyAlignment="1">
      <alignment horizontal="center" vertical="center"/>
      <protection/>
    </xf>
    <xf numFmtId="164" fontId="7" fillId="36" borderId="33" xfId="62" applyNumberFormat="1" applyFont="1" applyFill="1" applyBorder="1" applyAlignment="1">
      <alignment horizontal="right" vertical="center"/>
      <protection/>
    </xf>
    <xf numFmtId="164" fontId="7" fillId="41" borderId="47" xfId="62" applyNumberFormat="1" applyFont="1" applyFill="1" applyBorder="1" applyAlignment="1">
      <alignment horizontal="right"/>
      <protection/>
    </xf>
    <xf numFmtId="164" fontId="7" fillId="41" borderId="23" xfId="62" applyNumberFormat="1" applyFont="1" applyFill="1" applyBorder="1" applyAlignment="1">
      <alignment vertical="center"/>
      <protection/>
    </xf>
    <xf numFmtId="164" fontId="15" fillId="0" borderId="31" xfId="0" applyNumberFormat="1" applyFont="1" applyFill="1" applyBorder="1" applyAlignment="1">
      <alignment vertical="center"/>
    </xf>
    <xf numFmtId="0" fontId="7" fillId="33" borderId="43" xfId="60" applyFont="1" applyFill="1" applyBorder="1" applyAlignment="1">
      <alignment horizontal="center"/>
      <protection/>
    </xf>
    <xf numFmtId="164" fontId="7" fillId="33" borderId="45" xfId="60" applyNumberFormat="1" applyFont="1" applyFill="1" applyBorder="1" applyAlignment="1">
      <alignment vertical="center"/>
      <protection/>
    </xf>
    <xf numFmtId="164" fontId="7" fillId="33" borderId="21" xfId="60" applyNumberFormat="1" applyFont="1" applyFill="1" applyBorder="1" applyAlignment="1">
      <alignment vertical="center"/>
      <protection/>
    </xf>
    <xf numFmtId="164" fontId="7" fillId="36" borderId="21" xfId="62" applyNumberFormat="1" applyFont="1" applyFill="1" applyBorder="1" applyAlignment="1">
      <alignment vertical="center"/>
      <protection/>
    </xf>
    <xf numFmtId="164" fontId="7" fillId="41" borderId="21" xfId="60" applyNumberFormat="1" applyFont="1" applyFill="1" applyBorder="1" applyAlignment="1">
      <alignment vertical="center"/>
      <protection/>
    </xf>
    <xf numFmtId="164" fontId="8" fillId="41" borderId="21" xfId="60" applyNumberFormat="1" applyFont="1" applyFill="1" applyBorder="1" applyAlignment="1">
      <alignment vertical="center"/>
      <protection/>
    </xf>
    <xf numFmtId="164" fontId="7" fillId="41" borderId="20" xfId="60" applyNumberFormat="1" applyFont="1" applyFill="1" applyBorder="1" applyAlignment="1">
      <alignment vertical="center"/>
      <protection/>
    </xf>
    <xf numFmtId="164" fontId="8" fillId="41" borderId="21" xfId="62" applyNumberFormat="1" applyFont="1" applyFill="1" applyBorder="1" applyAlignment="1">
      <alignment vertical="center"/>
      <protection/>
    </xf>
    <xf numFmtId="164" fontId="7" fillId="41" borderId="20" xfId="62" applyNumberFormat="1" applyFont="1" applyFill="1" applyBorder="1" applyAlignment="1">
      <alignment vertical="center"/>
      <protection/>
    </xf>
    <xf numFmtId="1" fontId="7" fillId="41" borderId="33" xfId="0" applyNumberFormat="1" applyFont="1" applyFill="1" applyBorder="1" applyAlignment="1">
      <alignment horizontal="center" vertical="center"/>
    </xf>
    <xf numFmtId="1" fontId="7" fillId="41" borderId="26" xfId="0" applyNumberFormat="1" applyFont="1" applyFill="1" applyBorder="1" applyAlignment="1">
      <alignment horizontal="center"/>
    </xf>
    <xf numFmtId="1" fontId="7" fillId="41" borderId="33" xfId="0" applyNumberFormat="1" applyFont="1" applyFill="1" applyBorder="1" applyAlignment="1">
      <alignment horizontal="center"/>
    </xf>
    <xf numFmtId="0" fontId="7" fillId="41" borderId="33" xfId="60" applyFont="1" applyFill="1" applyBorder="1" applyAlignment="1" quotePrefix="1">
      <alignment horizontal="center"/>
      <protection/>
    </xf>
    <xf numFmtId="0" fontId="7" fillId="41" borderId="43" xfId="60" applyFont="1" applyFill="1" applyBorder="1" applyAlignment="1" quotePrefix="1">
      <alignment horizontal="center"/>
      <protection/>
    </xf>
    <xf numFmtId="0" fontId="7" fillId="41" borderId="26" xfId="60" applyFont="1" applyFill="1" applyBorder="1" applyAlignment="1" quotePrefix="1">
      <alignment horizontal="center"/>
      <protection/>
    </xf>
    <xf numFmtId="0" fontId="7" fillId="33" borderId="45" xfId="60" applyNumberFormat="1" applyFont="1" applyFill="1" applyBorder="1" applyAlignment="1">
      <alignment horizontal="center"/>
      <protection/>
    </xf>
    <xf numFmtId="164" fontId="7" fillId="41" borderId="45" xfId="61" applyNumberFormat="1" applyFont="1" applyFill="1" applyBorder="1" applyAlignment="1">
      <alignment/>
      <protection/>
    </xf>
    <xf numFmtId="0" fontId="7" fillId="33" borderId="23" xfId="60" applyNumberFormat="1" applyFont="1" applyFill="1" applyBorder="1" applyAlignment="1">
      <alignment horizontal="center"/>
      <protection/>
    </xf>
    <xf numFmtId="0" fontId="7" fillId="0" borderId="47" xfId="60" applyFont="1" applyFill="1" applyBorder="1" applyAlignment="1">
      <alignment horizontal="center"/>
      <protection/>
    </xf>
    <xf numFmtId="164" fontId="7" fillId="41" borderId="31" xfId="62" applyNumberFormat="1" applyFont="1" applyFill="1" applyBorder="1" applyAlignment="1">
      <alignment vertical="center"/>
      <protection/>
    </xf>
    <xf numFmtId="164" fontId="7" fillId="41" borderId="21" xfId="62" applyNumberFormat="1" applyFont="1" applyFill="1" applyBorder="1" applyAlignment="1">
      <alignment vertical="center"/>
      <protection/>
    </xf>
    <xf numFmtId="164" fontId="7" fillId="41" borderId="28" xfId="62" applyNumberFormat="1" applyFont="1" applyFill="1" applyBorder="1" applyAlignment="1">
      <alignment vertical="center"/>
      <protection/>
    </xf>
    <xf numFmtId="164" fontId="7" fillId="41" borderId="25" xfId="62" applyNumberFormat="1" applyFont="1" applyFill="1" applyBorder="1" applyAlignment="1">
      <alignment vertical="center"/>
      <protection/>
    </xf>
    <xf numFmtId="0" fontId="54" fillId="41" borderId="26" xfId="0" applyFont="1" applyFill="1" applyBorder="1" applyAlignment="1">
      <alignment vertical="center" wrapText="1"/>
    </xf>
    <xf numFmtId="164" fontId="7" fillId="36" borderId="31" xfId="62" applyNumberFormat="1" applyFont="1" applyFill="1" applyBorder="1" applyAlignment="1">
      <alignment vertical="center"/>
      <protection/>
    </xf>
    <xf numFmtId="164" fontId="7" fillId="41" borderId="30" xfId="62" applyNumberFormat="1" applyFont="1" applyFill="1" applyBorder="1" applyAlignment="1">
      <alignment vertical="center"/>
      <protection/>
    </xf>
    <xf numFmtId="164" fontId="7" fillId="36" borderId="40" xfId="62" applyNumberFormat="1" applyFont="1" applyFill="1" applyBorder="1" applyAlignment="1">
      <alignment/>
      <protection/>
    </xf>
    <xf numFmtId="164" fontId="7" fillId="41" borderId="17" xfId="61" applyNumberFormat="1" applyFont="1" applyFill="1" applyBorder="1" applyAlignment="1">
      <alignment/>
      <protection/>
    </xf>
    <xf numFmtId="164" fontId="7" fillId="36" borderId="50" xfId="62" applyNumberFormat="1" applyFont="1" applyFill="1" applyBorder="1" applyAlignment="1">
      <alignment/>
      <protection/>
    </xf>
    <xf numFmtId="0" fontId="7" fillId="33" borderId="33" xfId="60" applyFont="1" applyFill="1" applyBorder="1" applyAlignment="1">
      <alignment horizontal="center"/>
      <protection/>
    </xf>
    <xf numFmtId="0" fontId="7" fillId="0" borderId="30" xfId="60" applyFont="1" applyFill="1" applyBorder="1" applyAlignment="1" quotePrefix="1">
      <alignment horizontal="center"/>
      <protection/>
    </xf>
    <xf numFmtId="164" fontId="7" fillId="33" borderId="30" xfId="62" applyNumberFormat="1" applyFont="1" applyFill="1" applyBorder="1" applyAlignment="1">
      <alignment horizontal="right"/>
      <protection/>
    </xf>
    <xf numFmtId="164" fontId="7" fillId="41" borderId="30" xfId="62" applyNumberFormat="1" applyFont="1" applyFill="1" applyBorder="1" applyAlignment="1">
      <alignment horizontal="right"/>
      <protection/>
    </xf>
    <xf numFmtId="164" fontId="7" fillId="41" borderId="38" xfId="62" applyNumberFormat="1" applyFont="1" applyFill="1" applyBorder="1" applyAlignment="1" quotePrefix="1">
      <alignment vertical="center"/>
      <protection/>
    </xf>
    <xf numFmtId="1" fontId="7" fillId="0" borderId="22" xfId="0" applyNumberFormat="1" applyFont="1" applyFill="1" applyBorder="1" applyAlignment="1">
      <alignment horizontal="center"/>
    </xf>
    <xf numFmtId="164" fontId="7" fillId="41" borderId="0" xfId="62" applyNumberFormat="1" applyFont="1" applyFill="1" applyBorder="1" applyAlignment="1">
      <alignment horizontal="right"/>
      <protection/>
    </xf>
    <xf numFmtId="0" fontId="7" fillId="0" borderId="35" xfId="60" applyNumberFormat="1" applyFont="1" applyFill="1" applyBorder="1" applyAlignment="1">
      <alignment horizontal="center" vertical="center"/>
      <protection/>
    </xf>
    <xf numFmtId="0" fontId="7" fillId="0" borderId="18" xfId="0" applyFont="1" applyFill="1" applyBorder="1" applyAlignment="1">
      <alignment horizontal="left" vertical="center"/>
    </xf>
    <xf numFmtId="164" fontId="7" fillId="41" borderId="20" xfId="62" applyNumberFormat="1" applyFont="1" applyFill="1" applyBorder="1" applyAlignment="1">
      <alignment horizontal="right"/>
      <protection/>
    </xf>
    <xf numFmtId="164" fontId="7" fillId="41" borderId="31" xfId="61" applyNumberFormat="1" applyFont="1" applyFill="1" applyBorder="1" applyAlignment="1">
      <alignment vertical="center"/>
      <protection/>
    </xf>
    <xf numFmtId="164" fontId="7" fillId="41" borderId="25" xfId="62" applyNumberFormat="1" applyFont="1" applyFill="1" applyBorder="1" applyAlignment="1" quotePrefix="1">
      <alignment/>
      <protection/>
    </xf>
    <xf numFmtId="0" fontId="15" fillId="0" borderId="22" xfId="0" applyFont="1" applyFill="1" applyBorder="1" applyAlignment="1">
      <alignment horizontal="center"/>
    </xf>
    <xf numFmtId="0" fontId="7" fillId="33" borderId="23" xfId="60" applyFont="1" applyFill="1" applyBorder="1" applyAlignment="1" quotePrefix="1">
      <alignment horizontal="center"/>
      <protection/>
    </xf>
    <xf numFmtId="0" fontId="7" fillId="0" borderId="24" xfId="60" applyNumberFormat="1" applyFont="1" applyFill="1" applyBorder="1" applyAlignment="1">
      <alignment horizontal="center"/>
      <protection/>
    </xf>
    <xf numFmtId="0" fontId="7" fillId="41" borderId="26" xfId="0" applyFont="1" applyFill="1" applyBorder="1" applyAlignment="1">
      <alignment horizontal="left"/>
    </xf>
    <xf numFmtId="164" fontId="7" fillId="38" borderId="26" xfId="62" applyNumberFormat="1" applyFont="1" applyFill="1" applyBorder="1" applyAlignment="1">
      <alignment vertical="center"/>
      <protection/>
    </xf>
    <xf numFmtId="164" fontId="7" fillId="39" borderId="27" xfId="62" applyNumberFormat="1" applyFont="1" applyFill="1" applyBorder="1" applyAlignment="1">
      <alignment/>
      <protection/>
    </xf>
    <xf numFmtId="164" fontId="7" fillId="39" borderId="25" xfId="62" applyNumberFormat="1" applyFont="1" applyFill="1" applyBorder="1" applyAlignment="1">
      <alignment/>
      <protection/>
    </xf>
    <xf numFmtId="164" fontId="7" fillId="42" borderId="25" xfId="62" applyNumberFormat="1" applyFont="1" applyFill="1" applyBorder="1" applyAlignment="1">
      <alignment/>
      <protection/>
    </xf>
    <xf numFmtId="164" fontId="7" fillId="41" borderId="24" xfId="62" applyNumberFormat="1" applyFont="1" applyFill="1" applyBorder="1" applyAlignment="1">
      <alignment vertical="center"/>
      <protection/>
    </xf>
    <xf numFmtId="164" fontId="7" fillId="41" borderId="40" xfId="60" applyNumberFormat="1" applyFont="1" applyFill="1" applyBorder="1" applyAlignment="1">
      <alignment horizontal="right"/>
      <protection/>
    </xf>
    <xf numFmtId="0" fontId="7" fillId="41" borderId="25" xfId="60" applyFont="1" applyFill="1" applyBorder="1" applyAlignment="1">
      <alignment horizontal="center"/>
      <protection/>
    </xf>
    <xf numFmtId="164" fontId="7" fillId="36" borderId="26" xfId="62" applyNumberFormat="1" applyFont="1" applyFill="1" applyBorder="1">
      <alignment/>
      <protection/>
    </xf>
    <xf numFmtId="0" fontId="7" fillId="0" borderId="24" xfId="60" applyNumberFormat="1" applyFont="1" applyFill="1" applyBorder="1" applyAlignment="1">
      <alignment horizontal="center" vertical="center"/>
      <protection/>
    </xf>
    <xf numFmtId="1" fontId="7" fillId="0" borderId="30" xfId="60" applyNumberFormat="1" applyFont="1" applyFill="1" applyBorder="1" applyAlignment="1">
      <alignment horizontal="center"/>
      <protection/>
    </xf>
    <xf numFmtId="164" fontId="7" fillId="41" borderId="30" xfId="62" applyNumberFormat="1" applyFont="1" applyFill="1" applyBorder="1" applyAlignment="1" quotePrefix="1">
      <alignment vertical="center"/>
      <protection/>
    </xf>
    <xf numFmtId="0" fontId="7" fillId="41" borderId="26" xfId="0" applyFont="1" applyFill="1" applyBorder="1" applyAlignment="1">
      <alignment horizontal="left" vertical="center"/>
    </xf>
    <xf numFmtId="0" fontId="7" fillId="41" borderId="33" xfId="0" applyFont="1" applyFill="1" applyBorder="1" applyAlignment="1">
      <alignment horizontal="left" vertical="center"/>
    </xf>
    <xf numFmtId="0" fontId="7" fillId="41" borderId="33" xfId="0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164" fontId="7" fillId="36" borderId="50" xfId="62" applyNumberFormat="1" applyFont="1" applyFill="1" applyBorder="1" applyAlignment="1">
      <alignment vertical="center"/>
      <protection/>
    </xf>
    <xf numFmtId="0" fontId="7" fillId="0" borderId="26" xfId="0" applyFont="1" applyFill="1" applyBorder="1" applyAlignment="1">
      <alignment horizontal="left" vertical="center"/>
    </xf>
    <xf numFmtId="164" fontId="7" fillId="36" borderId="41" xfId="62" applyNumberFormat="1" applyFont="1" applyFill="1" applyBorder="1" applyAlignment="1">
      <alignment horizontal="right"/>
      <protection/>
    </xf>
    <xf numFmtId="49" fontId="7" fillId="0" borderId="34" xfId="0" applyNumberFormat="1" applyFont="1" applyFill="1" applyBorder="1" applyAlignment="1">
      <alignment horizontal="center" vertical="center"/>
    </xf>
    <xf numFmtId="0" fontId="1" fillId="41" borderId="0" xfId="63" applyFill="1">
      <alignment/>
      <protection/>
    </xf>
    <xf numFmtId="1" fontId="7" fillId="0" borderId="63" xfId="0" applyNumberFormat="1" applyFont="1" applyFill="1" applyBorder="1" applyAlignment="1">
      <alignment horizontal="center"/>
    </xf>
    <xf numFmtId="0" fontId="7" fillId="41" borderId="36" xfId="60" applyFont="1" applyFill="1" applyBorder="1" applyAlignment="1" quotePrefix="1">
      <alignment horizontal="center"/>
      <protection/>
    </xf>
    <xf numFmtId="0" fontId="7" fillId="0" borderId="26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49" fontId="11" fillId="35" borderId="64" xfId="60" applyNumberFormat="1" applyFont="1" applyFill="1" applyBorder="1" applyAlignment="1">
      <alignment horizontal="center"/>
      <protection/>
    </xf>
    <xf numFmtId="164" fontId="7" fillId="35" borderId="0" xfId="62" applyNumberFormat="1" applyFont="1" applyFill="1" applyBorder="1">
      <alignment/>
      <protection/>
    </xf>
    <xf numFmtId="164" fontId="7" fillId="35" borderId="62" xfId="62" applyNumberFormat="1" applyFont="1" applyFill="1" applyBorder="1" applyAlignment="1">
      <alignment/>
      <protection/>
    </xf>
    <xf numFmtId="49" fontId="11" fillId="33" borderId="65" xfId="60" applyNumberFormat="1" applyFont="1" applyFill="1" applyBorder="1" applyAlignment="1">
      <alignment horizontal="center"/>
      <protection/>
    </xf>
    <xf numFmtId="0" fontId="8" fillId="33" borderId="66" xfId="60" applyFont="1" applyFill="1" applyBorder="1" applyAlignment="1">
      <alignment horizontal="center" vertical="center"/>
      <protection/>
    </xf>
    <xf numFmtId="0" fontId="8" fillId="33" borderId="66" xfId="60" applyNumberFormat="1" applyFont="1" applyFill="1" applyBorder="1" applyAlignment="1">
      <alignment horizontal="center" vertical="center"/>
      <protection/>
    </xf>
    <xf numFmtId="0" fontId="7" fillId="33" borderId="66" xfId="60" applyFont="1" applyFill="1" applyBorder="1" applyAlignment="1" quotePrefix="1">
      <alignment horizontal="center" vertical="center"/>
      <protection/>
    </xf>
    <xf numFmtId="0" fontId="8" fillId="33" borderId="67" xfId="60" applyFont="1" applyFill="1" applyBorder="1" applyAlignment="1" quotePrefix="1">
      <alignment horizontal="left" vertical="center"/>
      <protection/>
    </xf>
    <xf numFmtId="164" fontId="8" fillId="36" borderId="68" xfId="62" applyNumberFormat="1" applyFont="1" applyFill="1" applyBorder="1" applyAlignment="1">
      <alignment vertical="center"/>
      <protection/>
    </xf>
    <xf numFmtId="164" fontId="8" fillId="0" borderId="69" xfId="62" applyNumberFormat="1" applyFont="1" applyFill="1" applyBorder="1" applyAlignment="1">
      <alignment vertical="center"/>
      <protection/>
    </xf>
    <xf numFmtId="164" fontId="8" fillId="36" borderId="70" xfId="62" applyNumberFormat="1" applyFont="1" applyFill="1" applyBorder="1" applyAlignment="1">
      <alignment vertical="center"/>
      <protection/>
    </xf>
    <xf numFmtId="164" fontId="8" fillId="33" borderId="71" xfId="60" applyNumberFormat="1" applyFont="1" applyFill="1" applyBorder="1" applyAlignment="1">
      <alignment vertical="center"/>
      <protection/>
    </xf>
    <xf numFmtId="164" fontId="8" fillId="33" borderId="69" xfId="60" applyNumberFormat="1" applyFont="1" applyFill="1" applyBorder="1" applyAlignment="1">
      <alignment vertical="center"/>
      <protection/>
    </xf>
    <xf numFmtId="164" fontId="8" fillId="33" borderId="72" xfId="60" applyNumberFormat="1" applyFont="1" applyFill="1" applyBorder="1" applyAlignment="1">
      <alignment vertical="center"/>
      <protection/>
    </xf>
    <xf numFmtId="10" fontId="6" fillId="0" borderId="73" xfId="63" applyNumberFormat="1" applyFont="1" applyBorder="1">
      <alignment/>
      <protection/>
    </xf>
    <xf numFmtId="0" fontId="7" fillId="0" borderId="31" xfId="60" applyNumberFormat="1" applyFont="1" applyFill="1" applyBorder="1" applyAlignment="1">
      <alignment horizontal="center" vertical="center"/>
      <protection/>
    </xf>
    <xf numFmtId="164" fontId="7" fillId="36" borderId="33" xfId="62" applyNumberFormat="1" applyFont="1" applyFill="1" applyBorder="1" applyAlignment="1">
      <alignment vertical="center"/>
      <protection/>
    </xf>
    <xf numFmtId="49" fontId="7" fillId="0" borderId="34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left" vertical="center" wrapText="1" shrinkToFit="1"/>
    </xf>
    <xf numFmtId="0" fontId="7" fillId="0" borderId="74" xfId="0" applyFont="1" applyFill="1" applyBorder="1" applyAlignment="1">
      <alignment horizontal="left" vertical="center"/>
    </xf>
    <xf numFmtId="164" fontId="7" fillId="36" borderId="33" xfId="62" applyNumberFormat="1" applyFont="1" applyFill="1" applyBorder="1" applyAlignment="1">
      <alignment horizontal="right" vertical="center"/>
      <protection/>
    </xf>
    <xf numFmtId="164" fontId="7" fillId="33" borderId="31" xfId="62" applyNumberFormat="1" applyFont="1" applyFill="1" applyBorder="1" applyAlignment="1">
      <alignment horizontal="right" vertical="center"/>
      <protection/>
    </xf>
    <xf numFmtId="164" fontId="7" fillId="33" borderId="30" xfId="62" applyNumberFormat="1" applyFont="1" applyFill="1" applyBorder="1" applyAlignment="1">
      <alignment horizontal="right" vertical="center"/>
      <protection/>
    </xf>
    <xf numFmtId="164" fontId="7" fillId="41" borderId="35" xfId="62" applyNumberFormat="1" applyFont="1" applyFill="1" applyBorder="1" applyAlignment="1">
      <alignment horizontal="right" vertical="center"/>
      <protection/>
    </xf>
    <xf numFmtId="49" fontId="15" fillId="0" borderId="63" xfId="0" applyNumberFormat="1" applyFont="1" applyFill="1" applyBorder="1" applyAlignment="1">
      <alignment horizontal="center" vertical="center"/>
    </xf>
    <xf numFmtId="0" fontId="8" fillId="33" borderId="66" xfId="60" applyFont="1" applyFill="1" applyBorder="1" applyAlignment="1">
      <alignment vertical="center"/>
      <protection/>
    </xf>
    <xf numFmtId="0" fontId="7" fillId="33" borderId="66" xfId="60" applyFont="1" applyFill="1" applyBorder="1" applyAlignment="1">
      <alignment vertical="center"/>
      <protection/>
    </xf>
    <xf numFmtId="0" fontId="8" fillId="33" borderId="67" xfId="60" applyFont="1" applyFill="1" applyBorder="1" applyAlignment="1">
      <alignment vertical="center"/>
      <protection/>
    </xf>
    <xf numFmtId="164" fontId="8" fillId="36" borderId="69" xfId="62" applyNumberFormat="1" applyFont="1" applyFill="1" applyBorder="1" applyAlignment="1">
      <alignment vertical="center"/>
      <protection/>
    </xf>
    <xf numFmtId="0" fontId="11" fillId="35" borderId="32" xfId="60" applyFont="1" applyFill="1" applyBorder="1" applyAlignment="1">
      <alignment horizontal="center"/>
      <protection/>
    </xf>
    <xf numFmtId="0" fontId="7" fillId="35" borderId="48" xfId="60" applyFont="1" applyFill="1" applyBorder="1" applyAlignment="1">
      <alignment horizontal="center"/>
      <protection/>
    </xf>
    <xf numFmtId="164" fontId="7" fillId="35" borderId="48" xfId="62" applyNumberFormat="1" applyFont="1" applyFill="1" applyBorder="1" applyAlignment="1">
      <alignment/>
      <protection/>
    </xf>
    <xf numFmtId="0" fontId="15" fillId="41" borderId="26" xfId="0" applyFont="1" applyFill="1" applyBorder="1" applyAlignment="1">
      <alignment horizontal="left" vertical="center"/>
    </xf>
    <xf numFmtId="0" fontId="12" fillId="33" borderId="66" xfId="60" applyFont="1" applyFill="1" applyBorder="1" applyAlignment="1">
      <alignment horizontal="center" vertical="center"/>
      <protection/>
    </xf>
    <xf numFmtId="0" fontId="12" fillId="33" borderId="66" xfId="60" applyNumberFormat="1" applyFont="1" applyFill="1" applyBorder="1" applyAlignment="1">
      <alignment horizontal="center" vertical="center"/>
      <protection/>
    </xf>
    <xf numFmtId="164" fontId="8" fillId="33" borderId="69" xfId="62" applyNumberFormat="1" applyFont="1" applyFill="1" applyBorder="1" applyAlignment="1" quotePrefix="1">
      <alignment vertical="center"/>
      <protection/>
    </xf>
    <xf numFmtId="164" fontId="8" fillId="33" borderId="72" xfId="62" applyNumberFormat="1" applyFont="1" applyFill="1" applyBorder="1" applyAlignment="1" quotePrefix="1">
      <alignment vertical="center"/>
      <protection/>
    </xf>
    <xf numFmtId="0" fontId="7" fillId="35" borderId="48" xfId="60" applyFont="1" applyFill="1" applyBorder="1" applyAlignment="1" quotePrefix="1">
      <alignment horizontal="left"/>
      <protection/>
    </xf>
    <xf numFmtId="164" fontId="7" fillId="35" borderId="48" xfId="60" applyNumberFormat="1" applyFont="1" applyFill="1" applyBorder="1" applyAlignment="1">
      <alignment/>
      <protection/>
    </xf>
    <xf numFmtId="164" fontId="7" fillId="35" borderId="55" xfId="62" applyNumberFormat="1" applyFont="1" applyFill="1" applyBorder="1" applyAlignment="1">
      <alignment/>
      <protection/>
    </xf>
    <xf numFmtId="164" fontId="7" fillId="35" borderId="54" xfId="62" applyNumberFormat="1" applyFont="1" applyFill="1" applyBorder="1" applyAlignment="1">
      <alignment/>
      <protection/>
    </xf>
    <xf numFmtId="164" fontId="7" fillId="35" borderId="19" xfId="61" applyNumberFormat="1" applyFont="1" applyFill="1" applyBorder="1" applyAlignment="1">
      <alignment/>
      <protection/>
    </xf>
    <xf numFmtId="164" fontId="8" fillId="37" borderId="69" xfId="62" applyNumberFormat="1" applyFont="1" applyFill="1" applyBorder="1" applyAlignment="1">
      <alignment vertical="center"/>
      <protection/>
    </xf>
    <xf numFmtId="164" fontId="8" fillId="37" borderId="70" xfId="62" applyNumberFormat="1" applyFont="1" applyFill="1" applyBorder="1" applyAlignment="1">
      <alignment vertical="center"/>
      <protection/>
    </xf>
    <xf numFmtId="49" fontId="7" fillId="35" borderId="75" xfId="60" applyNumberFormat="1" applyFont="1" applyFill="1" applyBorder="1" applyAlignment="1">
      <alignment horizontal="center"/>
      <protection/>
    </xf>
    <xf numFmtId="0" fontId="15" fillId="41" borderId="26" xfId="0" applyFont="1" applyFill="1" applyBorder="1" applyAlignment="1">
      <alignment/>
    </xf>
    <xf numFmtId="0" fontId="7" fillId="33" borderId="76" xfId="60" applyFont="1" applyFill="1" applyBorder="1" applyAlignment="1">
      <alignment horizontal="center" vertical="center"/>
      <protection/>
    </xf>
    <xf numFmtId="0" fontId="7" fillId="33" borderId="66" xfId="60" applyNumberFormat="1" applyFont="1" applyFill="1" applyBorder="1" applyAlignment="1">
      <alignment horizontal="center" vertical="center"/>
      <protection/>
    </xf>
    <xf numFmtId="164" fontId="8" fillId="41" borderId="69" xfId="60" applyNumberFormat="1" applyFont="1" applyFill="1" applyBorder="1" applyAlignment="1">
      <alignment vertical="center"/>
      <protection/>
    </xf>
    <xf numFmtId="164" fontId="8" fillId="41" borderId="71" xfId="60" applyNumberFormat="1" applyFont="1" applyFill="1" applyBorder="1" applyAlignment="1">
      <alignment vertical="center"/>
      <protection/>
    </xf>
    <xf numFmtId="164" fontId="8" fillId="41" borderId="72" xfId="60" applyNumberFormat="1" applyFont="1" applyFill="1" applyBorder="1" applyAlignment="1">
      <alignment vertical="center"/>
      <protection/>
    </xf>
    <xf numFmtId="49" fontId="11" fillId="35" borderId="32" xfId="60" applyNumberFormat="1" applyFont="1" applyFill="1" applyBorder="1" applyAlignment="1">
      <alignment horizontal="center"/>
      <protection/>
    </xf>
    <xf numFmtId="0" fontId="7" fillId="35" borderId="0" xfId="60" applyFont="1" applyFill="1" applyBorder="1" applyAlignment="1">
      <alignment horizontal="center" vertical="center"/>
      <protection/>
    </xf>
    <xf numFmtId="0" fontId="7" fillId="35" borderId="0" xfId="60" applyNumberFormat="1" applyFont="1" applyFill="1" applyBorder="1" applyAlignment="1">
      <alignment horizontal="center" vertical="center"/>
      <protection/>
    </xf>
    <xf numFmtId="0" fontId="7" fillId="35" borderId="0" xfId="60" applyFont="1" applyFill="1" applyBorder="1" applyAlignment="1" quotePrefix="1">
      <alignment horizontal="center" vertical="center"/>
      <protection/>
    </xf>
    <xf numFmtId="0" fontId="7" fillId="35" borderId="0" xfId="60" applyFont="1" applyFill="1" applyBorder="1" applyAlignment="1">
      <alignment horizontal="left" vertical="center"/>
      <protection/>
    </xf>
    <xf numFmtId="164" fontId="7" fillId="41" borderId="25" xfId="62" applyNumberFormat="1" applyFont="1" applyFill="1" applyBorder="1" applyAlignment="1" quotePrefix="1">
      <alignment horizontal="right"/>
      <protection/>
    </xf>
    <xf numFmtId="0" fontId="8" fillId="33" borderId="76" xfId="60" applyFont="1" applyFill="1" applyBorder="1" applyAlignment="1">
      <alignment horizontal="center" vertical="center"/>
      <protection/>
    </xf>
    <xf numFmtId="164" fontId="7" fillId="35" borderId="48" xfId="62" applyNumberFormat="1" applyFont="1" applyFill="1" applyBorder="1" applyAlignment="1">
      <alignment vertical="center"/>
      <protection/>
    </xf>
    <xf numFmtId="0" fontId="15" fillId="0" borderId="26" xfId="0" applyFont="1" applyFill="1" applyBorder="1" applyAlignment="1">
      <alignment horizontal="left" vertical="center" wrapText="1"/>
    </xf>
    <xf numFmtId="49" fontId="11" fillId="35" borderId="75" xfId="60" applyNumberFormat="1" applyFont="1" applyFill="1" applyBorder="1" applyAlignment="1">
      <alignment horizontal="center"/>
      <protection/>
    </xf>
    <xf numFmtId="3" fontId="7" fillId="35" borderId="48" xfId="62" applyNumberFormat="1" applyFont="1" applyFill="1" applyBorder="1" applyAlignment="1">
      <alignment horizontal="center"/>
      <protection/>
    </xf>
    <xf numFmtId="0" fontId="7" fillId="35" borderId="0" xfId="62" applyNumberFormat="1" applyFont="1" applyFill="1" applyBorder="1" applyAlignment="1">
      <alignment horizontal="center"/>
      <protection/>
    </xf>
    <xf numFmtId="3" fontId="7" fillId="35" borderId="0" xfId="62" applyNumberFormat="1" applyFont="1" applyFill="1" applyBorder="1" applyAlignment="1">
      <alignment horizontal="center"/>
      <protection/>
    </xf>
    <xf numFmtId="3" fontId="7" fillId="35" borderId="0" xfId="62" applyNumberFormat="1" applyFont="1" applyFill="1" applyBorder="1" applyAlignment="1">
      <alignment/>
      <protection/>
    </xf>
    <xf numFmtId="0" fontId="8" fillId="33" borderId="66" xfId="60" applyFont="1" applyFill="1" applyBorder="1" applyAlignment="1" quotePrefix="1">
      <alignment horizontal="left" vertical="center"/>
      <protection/>
    </xf>
    <xf numFmtId="164" fontId="8" fillId="33" borderId="66" xfId="60" applyNumberFormat="1" applyFont="1" applyFill="1" applyBorder="1" applyAlignment="1">
      <alignment vertical="center"/>
      <protection/>
    </xf>
    <xf numFmtId="0" fontId="7" fillId="35" borderId="48" xfId="60" applyFont="1" applyFill="1" applyBorder="1" applyAlignment="1" quotePrefix="1">
      <alignment horizontal="center"/>
      <protection/>
    </xf>
    <xf numFmtId="0" fontId="7" fillId="33" borderId="23" xfId="60" applyFont="1" applyFill="1" applyBorder="1" applyAlignment="1">
      <alignment horizontal="center" vertical="center"/>
      <protection/>
    </xf>
    <xf numFmtId="0" fontId="7" fillId="33" borderId="25" xfId="60" applyFont="1" applyFill="1" applyBorder="1" applyAlignment="1" quotePrefix="1">
      <alignment horizontal="center" vertical="center"/>
      <protection/>
    </xf>
    <xf numFmtId="0" fontId="7" fillId="0" borderId="24" xfId="60" applyFont="1" applyFill="1" applyBorder="1" applyAlignment="1">
      <alignment horizontal="left" vertical="center"/>
      <protection/>
    </xf>
    <xf numFmtId="164" fontId="7" fillId="33" borderId="24" xfId="60" applyNumberFormat="1" applyFont="1" applyFill="1" applyBorder="1" applyAlignment="1">
      <alignment vertical="center"/>
      <protection/>
    </xf>
    <xf numFmtId="164" fontId="7" fillId="41" borderId="24" xfId="60" applyNumberFormat="1" applyFont="1" applyFill="1" applyBorder="1" applyAlignment="1">
      <alignment vertical="center"/>
      <protection/>
    </xf>
    <xf numFmtId="164" fontId="8" fillId="36" borderId="41" xfId="62" applyNumberFormat="1" applyFont="1" applyFill="1" applyBorder="1" applyAlignment="1">
      <alignment vertical="center"/>
      <protection/>
    </xf>
    <xf numFmtId="0" fontId="7" fillId="0" borderId="66" xfId="60" applyNumberFormat="1" applyFont="1" applyFill="1" applyBorder="1" applyAlignment="1">
      <alignment horizontal="center" vertical="center"/>
      <protection/>
    </xf>
    <xf numFmtId="164" fontId="8" fillId="36" borderId="67" xfId="62" applyNumberFormat="1" applyFont="1" applyFill="1" applyBorder="1" applyAlignment="1">
      <alignment vertical="center"/>
      <protection/>
    </xf>
    <xf numFmtId="0" fontId="1" fillId="33" borderId="77" xfId="60" applyFill="1" applyBorder="1">
      <alignment/>
      <protection/>
    </xf>
    <xf numFmtId="0" fontId="13" fillId="33" borderId="78" xfId="62" applyFont="1" applyFill="1" applyBorder="1">
      <alignment/>
      <protection/>
    </xf>
    <xf numFmtId="0" fontId="7" fillId="33" borderId="78" xfId="62" applyFont="1" applyFill="1" applyBorder="1">
      <alignment/>
      <protection/>
    </xf>
    <xf numFmtId="0" fontId="8" fillId="33" borderId="78" xfId="62" applyFont="1" applyFill="1" applyBorder="1" applyAlignment="1" quotePrefix="1">
      <alignment vertical="center"/>
      <protection/>
    </xf>
    <xf numFmtId="164" fontId="8" fillId="36" borderId="79" xfId="62" applyNumberFormat="1" applyFont="1" applyFill="1" applyBorder="1" applyAlignment="1">
      <alignment vertical="center"/>
      <protection/>
    </xf>
    <xf numFmtId="164" fontId="8" fillId="33" borderId="80" xfId="62" applyNumberFormat="1" applyFont="1" applyFill="1" applyBorder="1" applyAlignment="1">
      <alignment vertical="center"/>
      <protection/>
    </xf>
    <xf numFmtId="164" fontId="8" fillId="36" borderId="81" xfId="62" applyNumberFormat="1" applyFont="1" applyFill="1" applyBorder="1" applyAlignment="1">
      <alignment vertical="center"/>
      <protection/>
    </xf>
    <xf numFmtId="164" fontId="8" fillId="33" borderId="79" xfId="62" applyNumberFormat="1" applyFont="1" applyFill="1" applyBorder="1" applyAlignment="1">
      <alignment vertical="center"/>
      <protection/>
    </xf>
    <xf numFmtId="164" fontId="8" fillId="33" borderId="82" xfId="62" applyNumberFormat="1" applyFont="1" applyFill="1" applyBorder="1" applyAlignment="1">
      <alignment vertical="center"/>
      <protection/>
    </xf>
    <xf numFmtId="164" fontId="8" fillId="33" borderId="78" xfId="62" applyNumberFormat="1" applyFont="1" applyFill="1" applyBorder="1" applyAlignment="1">
      <alignment vertical="center"/>
      <protection/>
    </xf>
    <xf numFmtId="10" fontId="6" fillId="0" borderId="83" xfId="63" applyNumberFormat="1" applyFont="1" applyBorder="1">
      <alignment/>
      <protection/>
    </xf>
    <xf numFmtId="49" fontId="1" fillId="33" borderId="65" xfId="60" applyNumberFormat="1" applyFill="1" applyBorder="1">
      <alignment/>
      <protection/>
    </xf>
    <xf numFmtId="0" fontId="1" fillId="33" borderId="65" xfId="60" applyFill="1" applyBorder="1" applyAlignment="1">
      <alignment horizontal="center"/>
      <protection/>
    </xf>
    <xf numFmtId="1" fontId="7" fillId="0" borderId="52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1" fontId="7" fillId="41" borderId="43" xfId="0" applyNumberFormat="1" applyFont="1" applyFill="1" applyBorder="1" applyAlignment="1">
      <alignment horizontal="center" vertical="center"/>
    </xf>
    <xf numFmtId="0" fontId="7" fillId="0" borderId="21" xfId="60" applyNumberFormat="1" applyFont="1" applyFill="1" applyBorder="1" applyAlignment="1">
      <alignment horizontal="center" vertical="center"/>
      <protection/>
    </xf>
    <xf numFmtId="0" fontId="7" fillId="0" borderId="46" xfId="60" applyFont="1" applyFill="1" applyBorder="1" applyAlignment="1">
      <alignment horizontal="center" vertical="center"/>
      <protection/>
    </xf>
    <xf numFmtId="0" fontId="7" fillId="0" borderId="18" xfId="0" applyFont="1" applyFill="1" applyBorder="1" applyAlignment="1">
      <alignment horizontal="left" vertical="center"/>
    </xf>
    <xf numFmtId="164" fontId="7" fillId="41" borderId="48" xfId="62" applyNumberFormat="1" applyFont="1" applyFill="1" applyBorder="1" applyAlignment="1">
      <alignment vertical="center"/>
      <protection/>
    </xf>
    <xf numFmtId="164" fontId="7" fillId="41" borderId="20" xfId="62" applyNumberFormat="1" applyFont="1" applyFill="1" applyBorder="1" applyAlignment="1">
      <alignment/>
      <protection/>
    </xf>
    <xf numFmtId="164" fontId="7" fillId="36" borderId="43" xfId="62" applyNumberFormat="1" applyFont="1" applyFill="1" applyBorder="1" applyAlignment="1">
      <alignment horizontal="right" vertical="center"/>
      <protection/>
    </xf>
    <xf numFmtId="164" fontId="7" fillId="41" borderId="19" xfId="62" applyNumberFormat="1" applyFont="1" applyFill="1" applyBorder="1" applyAlignment="1">
      <alignment vertical="center"/>
      <protection/>
    </xf>
    <xf numFmtId="164" fontId="7" fillId="41" borderId="20" xfId="61" applyNumberFormat="1" applyFont="1" applyFill="1" applyBorder="1" applyAlignment="1">
      <alignment vertical="center"/>
      <protection/>
    </xf>
    <xf numFmtId="164" fontId="7" fillId="41" borderId="21" xfId="61" applyNumberFormat="1" applyFont="1" applyFill="1" applyBorder="1" applyAlignment="1">
      <alignment vertical="center"/>
      <protection/>
    </xf>
    <xf numFmtId="49" fontId="7" fillId="0" borderId="84" xfId="0" applyNumberFormat="1" applyFont="1" applyFill="1" applyBorder="1" applyAlignment="1">
      <alignment horizontal="center" vertical="center"/>
    </xf>
    <xf numFmtId="1" fontId="7" fillId="41" borderId="26" xfId="0" applyNumberFormat="1" applyFont="1" applyFill="1" applyBorder="1" applyAlignment="1">
      <alignment horizontal="center" vertical="center"/>
    </xf>
    <xf numFmtId="0" fontId="7" fillId="0" borderId="25" xfId="60" applyFont="1" applyFill="1" applyBorder="1" applyAlignment="1">
      <alignment horizontal="center" vertical="center"/>
      <protection/>
    </xf>
    <xf numFmtId="164" fontId="7" fillId="36" borderId="26" xfId="62" applyNumberFormat="1" applyFont="1" applyFill="1" applyBorder="1" applyAlignment="1">
      <alignment horizontal="right" vertical="center"/>
      <protection/>
    </xf>
    <xf numFmtId="164" fontId="7" fillId="41" borderId="25" xfId="61" applyNumberFormat="1" applyFont="1" applyFill="1" applyBorder="1" applyAlignment="1">
      <alignment vertical="center"/>
      <protection/>
    </xf>
    <xf numFmtId="164" fontId="7" fillId="41" borderId="28" xfId="61" applyNumberFormat="1" applyFont="1" applyFill="1" applyBorder="1" applyAlignment="1">
      <alignment vertical="center"/>
      <protection/>
    </xf>
    <xf numFmtId="1" fontId="7" fillId="41" borderId="85" xfId="0" applyNumberFormat="1" applyFont="1" applyFill="1" applyBorder="1" applyAlignment="1">
      <alignment horizontal="center"/>
    </xf>
    <xf numFmtId="0" fontId="7" fillId="0" borderId="86" xfId="60" applyNumberFormat="1" applyFont="1" applyFill="1" applyBorder="1" applyAlignment="1">
      <alignment horizontal="center"/>
      <protection/>
    </xf>
    <xf numFmtId="0" fontId="7" fillId="0" borderId="87" xfId="60" applyFont="1" applyFill="1" applyBorder="1" applyAlignment="1">
      <alignment horizontal="center"/>
      <protection/>
    </xf>
    <xf numFmtId="0" fontId="7" fillId="0" borderId="85" xfId="0" applyFont="1" applyFill="1" applyBorder="1" applyAlignment="1">
      <alignment horizontal="left" vertical="center"/>
    </xf>
    <xf numFmtId="164" fontId="7" fillId="36" borderId="88" xfId="62" applyNumberFormat="1" applyFont="1" applyFill="1" applyBorder="1" applyAlignment="1">
      <alignment vertical="center"/>
      <protection/>
    </xf>
    <xf numFmtId="164" fontId="7" fillId="41" borderId="86" xfId="62" applyNumberFormat="1" applyFont="1" applyFill="1" applyBorder="1" applyAlignment="1">
      <alignment/>
      <protection/>
    </xf>
    <xf numFmtId="164" fontId="7" fillId="41" borderId="89" xfId="62" applyNumberFormat="1" applyFont="1" applyFill="1" applyBorder="1" applyAlignment="1">
      <alignment/>
      <protection/>
    </xf>
    <xf numFmtId="164" fontId="7" fillId="33" borderId="87" xfId="62" applyNumberFormat="1" applyFont="1" applyFill="1" applyBorder="1" applyAlignment="1">
      <alignment/>
      <protection/>
    </xf>
    <xf numFmtId="164" fontId="7" fillId="36" borderId="86" xfId="62" applyNumberFormat="1" applyFont="1" applyFill="1" applyBorder="1" applyAlignment="1">
      <alignment/>
      <protection/>
    </xf>
    <xf numFmtId="164" fontId="7" fillId="41" borderId="90" xfId="62" applyNumberFormat="1" applyFont="1" applyFill="1" applyBorder="1" applyAlignment="1">
      <alignment/>
      <protection/>
    </xf>
    <xf numFmtId="164" fontId="7" fillId="41" borderId="91" xfId="61" applyNumberFormat="1" applyFont="1" applyFill="1" applyBorder="1" applyAlignment="1">
      <alignment/>
      <protection/>
    </xf>
    <xf numFmtId="164" fontId="7" fillId="41" borderId="89" xfId="61" applyNumberFormat="1" applyFont="1" applyFill="1" applyBorder="1" applyAlignment="1">
      <alignment vertical="center"/>
      <protection/>
    </xf>
    <xf numFmtId="164" fontId="7" fillId="41" borderId="91" xfId="62" applyNumberFormat="1" applyFont="1" applyFill="1" applyBorder="1" applyAlignment="1">
      <alignment vertical="center"/>
      <protection/>
    </xf>
    <xf numFmtId="0" fontId="7" fillId="0" borderId="92" xfId="0" applyFont="1" applyFill="1" applyBorder="1" applyAlignment="1">
      <alignment horizontal="left" vertical="center"/>
    </xf>
    <xf numFmtId="1" fontId="7" fillId="41" borderId="92" xfId="0" applyNumberFormat="1" applyFont="1" applyFill="1" applyBorder="1" applyAlignment="1">
      <alignment horizontal="center"/>
    </xf>
    <xf numFmtId="0" fontId="7" fillId="0" borderId="93" xfId="60" applyNumberFormat="1" applyFont="1" applyFill="1" applyBorder="1" applyAlignment="1">
      <alignment horizontal="center"/>
      <protection/>
    </xf>
    <xf numFmtId="0" fontId="7" fillId="0" borderId="94" xfId="60" applyFont="1" applyFill="1" applyBorder="1" applyAlignment="1">
      <alignment horizontal="center"/>
      <protection/>
    </xf>
    <xf numFmtId="164" fontId="7" fillId="36" borderId="95" xfId="62" applyNumberFormat="1" applyFont="1" applyFill="1" applyBorder="1" applyAlignment="1">
      <alignment vertical="center"/>
      <protection/>
    </xf>
    <xf numFmtId="164" fontId="7" fillId="41" borderId="93" xfId="62" applyNumberFormat="1" applyFont="1" applyFill="1" applyBorder="1" applyAlignment="1">
      <alignment/>
      <protection/>
    </xf>
    <xf numFmtId="164" fontId="7" fillId="41" borderId="96" xfId="62" applyNumberFormat="1" applyFont="1" applyFill="1" applyBorder="1" applyAlignment="1">
      <alignment/>
      <protection/>
    </xf>
    <xf numFmtId="164" fontId="7" fillId="33" borderId="94" xfId="62" applyNumberFormat="1" applyFont="1" applyFill="1" applyBorder="1" applyAlignment="1">
      <alignment/>
      <protection/>
    </xf>
    <xf numFmtId="164" fontId="7" fillId="36" borderId="93" xfId="62" applyNumberFormat="1" applyFont="1" applyFill="1" applyBorder="1" applyAlignment="1">
      <alignment/>
      <protection/>
    </xf>
    <xf numFmtId="164" fontId="7" fillId="41" borderId="97" xfId="62" applyNumberFormat="1" applyFont="1" applyFill="1" applyBorder="1" applyAlignment="1">
      <alignment/>
      <protection/>
    </xf>
    <xf numFmtId="164" fontId="7" fillId="41" borderId="98" xfId="61" applyNumberFormat="1" applyFont="1" applyFill="1" applyBorder="1" applyAlignment="1">
      <alignment/>
      <protection/>
    </xf>
    <xf numFmtId="164" fontId="7" fillId="41" borderId="96" xfId="61" applyNumberFormat="1" applyFont="1" applyFill="1" applyBorder="1" applyAlignment="1">
      <alignment vertical="center"/>
      <protection/>
    </xf>
    <xf numFmtId="164" fontId="7" fillId="41" borderId="98" xfId="62" applyNumberFormat="1" applyFont="1" applyFill="1" applyBorder="1" applyAlignment="1">
      <alignment vertical="center"/>
      <protection/>
    </xf>
    <xf numFmtId="0" fontId="7" fillId="33" borderId="85" xfId="60" applyFont="1" applyFill="1" applyBorder="1" applyAlignment="1">
      <alignment horizontal="center"/>
      <protection/>
    </xf>
    <xf numFmtId="0" fontId="7" fillId="0" borderId="99" xfId="60" applyNumberFormat="1" applyFont="1" applyFill="1" applyBorder="1" applyAlignment="1">
      <alignment horizontal="center"/>
      <protection/>
    </xf>
    <xf numFmtId="0" fontId="7" fillId="33" borderId="91" xfId="60" applyFont="1" applyFill="1" applyBorder="1" applyAlignment="1">
      <alignment horizontal="center"/>
      <protection/>
    </xf>
    <xf numFmtId="164" fontId="7" fillId="36" borderId="88" xfId="62" applyNumberFormat="1" applyFont="1" applyFill="1" applyBorder="1" applyAlignment="1">
      <alignment horizontal="right"/>
      <protection/>
    </xf>
    <xf numFmtId="164" fontId="7" fillId="33" borderId="86" xfId="60" applyNumberFormat="1" applyFont="1" applyFill="1" applyBorder="1" applyAlignment="1">
      <alignment horizontal="right"/>
      <protection/>
    </xf>
    <xf numFmtId="164" fontId="7" fillId="33" borderId="89" xfId="60" applyNumberFormat="1" applyFont="1" applyFill="1" applyBorder="1" applyAlignment="1">
      <alignment horizontal="right"/>
      <protection/>
    </xf>
    <xf numFmtId="164" fontId="7" fillId="36" borderId="89" xfId="62" applyNumberFormat="1" applyFont="1" applyFill="1" applyBorder="1" applyAlignment="1">
      <alignment horizontal="right"/>
      <protection/>
    </xf>
    <xf numFmtId="164" fontId="7" fillId="41" borderId="89" xfId="60" applyNumberFormat="1" applyFont="1" applyFill="1" applyBorder="1" applyAlignment="1">
      <alignment horizontal="right"/>
      <protection/>
    </xf>
    <xf numFmtId="164" fontId="8" fillId="41" borderId="89" xfId="60" applyNumberFormat="1" applyFont="1" applyFill="1" applyBorder="1" applyAlignment="1">
      <alignment horizontal="right"/>
      <protection/>
    </xf>
    <xf numFmtId="164" fontId="7" fillId="41" borderId="91" xfId="60" applyNumberFormat="1" applyFont="1" applyFill="1" applyBorder="1" applyAlignment="1">
      <alignment horizontal="right"/>
      <protection/>
    </xf>
    <xf numFmtId="164" fontId="8" fillId="41" borderId="89" xfId="62" applyNumberFormat="1" applyFont="1" applyFill="1" applyBorder="1" applyAlignment="1">
      <alignment horizontal="right"/>
      <protection/>
    </xf>
    <xf numFmtId="164" fontId="7" fillId="41" borderId="91" xfId="62" applyNumberFormat="1" applyFont="1" applyFill="1" applyBorder="1" applyAlignment="1">
      <alignment horizontal="right"/>
      <protection/>
    </xf>
    <xf numFmtId="0" fontId="7" fillId="33" borderId="92" xfId="60" applyFont="1" applyFill="1" applyBorder="1" applyAlignment="1">
      <alignment horizontal="center"/>
      <protection/>
    </xf>
    <xf numFmtId="0" fontId="7" fillId="0" borderId="100" xfId="60" applyNumberFormat="1" applyFont="1" applyFill="1" applyBorder="1" applyAlignment="1">
      <alignment horizontal="center"/>
      <protection/>
    </xf>
    <xf numFmtId="0" fontId="7" fillId="33" borderId="98" xfId="60" applyFont="1" applyFill="1" applyBorder="1" applyAlignment="1">
      <alignment horizontal="center"/>
      <protection/>
    </xf>
    <xf numFmtId="164" fontId="7" fillId="36" borderId="95" xfId="62" applyNumberFormat="1" applyFont="1" applyFill="1" applyBorder="1" applyAlignment="1">
      <alignment horizontal="right"/>
      <protection/>
    </xf>
    <xf numFmtId="164" fontId="7" fillId="33" borderId="93" xfId="60" applyNumberFormat="1" applyFont="1" applyFill="1" applyBorder="1" applyAlignment="1">
      <alignment horizontal="right"/>
      <protection/>
    </xf>
    <xf numFmtId="164" fontId="7" fillId="33" borderId="96" xfId="60" applyNumberFormat="1" applyFont="1" applyFill="1" applyBorder="1" applyAlignment="1">
      <alignment horizontal="right"/>
      <protection/>
    </xf>
    <xf numFmtId="164" fontId="7" fillId="36" borderId="96" xfId="62" applyNumberFormat="1" applyFont="1" applyFill="1" applyBorder="1" applyAlignment="1">
      <alignment horizontal="right"/>
      <protection/>
    </xf>
    <xf numFmtId="164" fontId="7" fillId="41" borderId="96" xfId="60" applyNumberFormat="1" applyFont="1" applyFill="1" applyBorder="1" applyAlignment="1">
      <alignment horizontal="right"/>
      <protection/>
    </xf>
    <xf numFmtId="164" fontId="8" fillId="41" borderId="96" xfId="60" applyNumberFormat="1" applyFont="1" applyFill="1" applyBorder="1" applyAlignment="1">
      <alignment horizontal="right"/>
      <protection/>
    </xf>
    <xf numFmtId="164" fontId="7" fillId="41" borderId="98" xfId="60" applyNumberFormat="1" applyFont="1" applyFill="1" applyBorder="1" applyAlignment="1">
      <alignment horizontal="right"/>
      <protection/>
    </xf>
    <xf numFmtId="164" fontId="8" fillId="41" borderId="96" xfId="62" applyNumberFormat="1" applyFont="1" applyFill="1" applyBorder="1" applyAlignment="1">
      <alignment horizontal="right"/>
      <protection/>
    </xf>
    <xf numFmtId="164" fontId="7" fillId="41" borderId="98" xfId="62" applyNumberFormat="1" applyFont="1" applyFill="1" applyBorder="1" applyAlignment="1">
      <alignment horizontal="right"/>
      <protection/>
    </xf>
    <xf numFmtId="49" fontId="7" fillId="0" borderId="16" xfId="0" applyNumberFormat="1" applyFont="1" applyFill="1" applyBorder="1" applyAlignment="1">
      <alignment horizontal="center"/>
    </xf>
    <xf numFmtId="0" fontId="7" fillId="33" borderId="40" xfId="60" applyFont="1" applyFill="1" applyBorder="1" applyAlignment="1" quotePrefix="1">
      <alignment horizontal="center"/>
      <protection/>
    </xf>
    <xf numFmtId="0" fontId="7" fillId="0" borderId="0" xfId="60" applyNumberFormat="1" applyFont="1" applyFill="1" applyBorder="1" applyAlignment="1">
      <alignment horizontal="center"/>
      <protection/>
    </xf>
    <xf numFmtId="0" fontId="7" fillId="41" borderId="18" xfId="0" applyFont="1" applyFill="1" applyBorder="1" applyAlignment="1">
      <alignment horizontal="left"/>
    </xf>
    <xf numFmtId="164" fontId="7" fillId="38" borderId="43" xfId="62" applyNumberFormat="1" applyFont="1" applyFill="1" applyBorder="1" applyAlignment="1">
      <alignment vertical="center"/>
      <protection/>
    </xf>
    <xf numFmtId="164" fontId="7" fillId="39" borderId="19" xfId="62" applyNumberFormat="1" applyFont="1" applyFill="1" applyBorder="1" applyAlignment="1">
      <alignment/>
      <protection/>
    </xf>
    <xf numFmtId="164" fontId="7" fillId="39" borderId="20" xfId="62" applyNumberFormat="1" applyFont="1" applyFill="1" applyBorder="1" applyAlignment="1">
      <alignment/>
      <protection/>
    </xf>
    <xf numFmtId="164" fontId="7" fillId="41" borderId="40" xfId="62" applyNumberFormat="1" applyFont="1" applyFill="1" applyBorder="1" applyAlignment="1" quotePrefix="1">
      <alignment/>
      <protection/>
    </xf>
    <xf numFmtId="0" fontId="7" fillId="33" borderId="86" xfId="60" applyFont="1" applyFill="1" applyBorder="1" applyAlignment="1" quotePrefix="1">
      <alignment horizontal="center"/>
      <protection/>
    </xf>
    <xf numFmtId="0" fontId="7" fillId="0" borderId="99" xfId="60" applyNumberFormat="1" applyFont="1" applyFill="1" applyBorder="1" applyAlignment="1">
      <alignment horizontal="center"/>
      <protection/>
    </xf>
    <xf numFmtId="0" fontId="7" fillId="0" borderId="85" xfId="0" applyFont="1" applyFill="1" applyBorder="1" applyAlignment="1">
      <alignment horizontal="left" vertical="center"/>
    </xf>
    <xf numFmtId="164" fontId="7" fillId="38" borderId="85" xfId="62" applyNumberFormat="1" applyFont="1" applyFill="1" applyBorder="1" applyAlignment="1">
      <alignment vertical="center"/>
      <protection/>
    </xf>
    <xf numFmtId="164" fontId="7" fillId="39" borderId="90" xfId="62" applyNumberFormat="1" applyFont="1" applyFill="1" applyBorder="1" applyAlignment="1">
      <alignment/>
      <protection/>
    </xf>
    <xf numFmtId="164" fontId="7" fillId="39" borderId="91" xfId="62" applyNumberFormat="1" applyFont="1" applyFill="1" applyBorder="1" applyAlignment="1">
      <alignment/>
      <protection/>
    </xf>
    <xf numFmtId="164" fontId="7" fillId="41" borderId="99" xfId="62" applyNumberFormat="1" applyFont="1" applyFill="1" applyBorder="1" applyAlignment="1">
      <alignment/>
      <protection/>
    </xf>
    <xf numFmtId="164" fontId="7" fillId="42" borderId="91" xfId="62" applyNumberFormat="1" applyFont="1" applyFill="1" applyBorder="1" applyAlignment="1">
      <alignment/>
      <protection/>
    </xf>
    <xf numFmtId="164" fontId="7" fillId="36" borderId="88" xfId="62" applyNumberFormat="1" applyFont="1" applyFill="1" applyBorder="1" applyAlignment="1">
      <alignment vertical="center"/>
      <protection/>
    </xf>
    <xf numFmtId="164" fontId="7" fillId="41" borderId="86" xfId="62" applyNumberFormat="1" applyFont="1" applyFill="1" applyBorder="1" applyAlignment="1" quotePrefix="1">
      <alignment/>
      <protection/>
    </xf>
    <xf numFmtId="0" fontId="7" fillId="33" borderId="93" xfId="60" applyFont="1" applyFill="1" applyBorder="1" applyAlignment="1" quotePrefix="1">
      <alignment horizontal="center"/>
      <protection/>
    </xf>
    <xf numFmtId="0" fontId="7" fillId="0" borderId="100" xfId="60" applyNumberFormat="1" applyFont="1" applyFill="1" applyBorder="1" applyAlignment="1">
      <alignment horizontal="center"/>
      <protection/>
    </xf>
    <xf numFmtId="0" fontId="7" fillId="0" borderId="101" xfId="0" applyFont="1" applyFill="1" applyBorder="1" applyAlignment="1">
      <alignment horizontal="left" vertical="center"/>
    </xf>
    <xf numFmtId="164" fontId="7" fillId="38" borderId="92" xfId="62" applyNumberFormat="1" applyFont="1" applyFill="1" applyBorder="1" applyAlignment="1">
      <alignment vertical="center"/>
      <protection/>
    </xf>
    <xf numFmtId="164" fontId="7" fillId="39" borderId="97" xfId="62" applyNumberFormat="1" applyFont="1" applyFill="1" applyBorder="1" applyAlignment="1">
      <alignment/>
      <protection/>
    </xf>
    <xf numFmtId="164" fontId="7" fillId="39" borderId="98" xfId="62" applyNumberFormat="1" applyFont="1" applyFill="1" applyBorder="1" applyAlignment="1">
      <alignment/>
      <protection/>
    </xf>
    <xf numFmtId="164" fontId="7" fillId="41" borderId="100" xfId="62" applyNumberFormat="1" applyFont="1" applyFill="1" applyBorder="1" applyAlignment="1">
      <alignment/>
      <protection/>
    </xf>
    <xf numFmtId="164" fontId="7" fillId="42" borderId="98" xfId="62" applyNumberFormat="1" applyFont="1" applyFill="1" applyBorder="1" applyAlignment="1">
      <alignment/>
      <protection/>
    </xf>
    <xf numFmtId="164" fontId="7" fillId="36" borderId="95" xfId="62" applyNumberFormat="1" applyFont="1" applyFill="1" applyBorder="1" applyAlignment="1">
      <alignment vertical="center"/>
      <protection/>
    </xf>
    <xf numFmtId="164" fontId="7" fillId="41" borderId="93" xfId="62" applyNumberFormat="1" applyFont="1" applyFill="1" applyBorder="1" applyAlignment="1" quotePrefix="1">
      <alignment/>
      <protection/>
    </xf>
    <xf numFmtId="164" fontId="7" fillId="36" borderId="45" xfId="62" applyNumberFormat="1" applyFont="1" applyFill="1" applyBorder="1" applyAlignment="1">
      <alignment/>
      <protection/>
    </xf>
    <xf numFmtId="164" fontId="7" fillId="36" borderId="41" xfId="62" applyNumberFormat="1" applyFont="1" applyFill="1" applyBorder="1" applyAlignment="1">
      <alignment/>
      <protection/>
    </xf>
    <xf numFmtId="164" fontId="7" fillId="41" borderId="23" xfId="61" applyNumberFormat="1" applyFont="1" applyFill="1" applyBorder="1" applyAlignment="1">
      <alignment/>
      <protection/>
    </xf>
    <xf numFmtId="164" fontId="7" fillId="41" borderId="39" xfId="62" applyNumberFormat="1" applyFont="1" applyFill="1" applyBorder="1" applyAlignment="1">
      <alignment/>
      <protection/>
    </xf>
    <xf numFmtId="0" fontId="7" fillId="41" borderId="85" xfId="60" applyFont="1" applyFill="1" applyBorder="1" applyAlignment="1" quotePrefix="1">
      <alignment horizontal="center"/>
      <protection/>
    </xf>
    <xf numFmtId="0" fontId="7" fillId="33" borderId="86" xfId="60" applyNumberFormat="1" applyFont="1" applyFill="1" applyBorder="1" applyAlignment="1">
      <alignment horizontal="center"/>
      <protection/>
    </xf>
    <xf numFmtId="0" fontId="7" fillId="0" borderId="91" xfId="60" applyFont="1" applyFill="1" applyBorder="1" applyAlignment="1">
      <alignment horizontal="center"/>
      <protection/>
    </xf>
    <xf numFmtId="164" fontId="7" fillId="36" borderId="88" xfId="62" applyNumberFormat="1" applyFont="1" applyFill="1" applyBorder="1" applyAlignment="1">
      <alignment/>
      <protection/>
    </xf>
    <xf numFmtId="164" fontId="7" fillId="41" borderId="86" xfId="61" applyNumberFormat="1" applyFont="1" applyFill="1" applyBorder="1" applyAlignment="1">
      <alignment/>
      <protection/>
    </xf>
    <xf numFmtId="164" fontId="7" fillId="41" borderId="87" xfId="62" applyNumberFormat="1" applyFont="1" applyFill="1" applyBorder="1" applyAlignment="1">
      <alignment/>
      <protection/>
    </xf>
    <xf numFmtId="0" fontId="7" fillId="41" borderId="101" xfId="60" applyFont="1" applyFill="1" applyBorder="1" applyAlignment="1" quotePrefix="1">
      <alignment horizontal="center"/>
      <protection/>
    </xf>
    <xf numFmtId="0" fontId="7" fillId="33" borderId="102" xfId="60" applyNumberFormat="1" applyFont="1" applyFill="1" applyBorder="1" applyAlignment="1">
      <alignment horizontal="center"/>
      <protection/>
    </xf>
    <xf numFmtId="0" fontId="7" fillId="0" borderId="103" xfId="60" applyFont="1" applyFill="1" applyBorder="1" applyAlignment="1">
      <alignment horizontal="center"/>
      <protection/>
    </xf>
    <xf numFmtId="164" fontId="7" fillId="36" borderId="104" xfId="62" applyNumberFormat="1" applyFont="1" applyFill="1" applyBorder="1" applyAlignment="1">
      <alignment vertical="center"/>
      <protection/>
    </xf>
    <xf numFmtId="164" fontId="7" fillId="33" borderId="102" xfId="62" applyNumberFormat="1" applyFont="1" applyFill="1" applyBorder="1" applyAlignment="1">
      <alignment/>
      <protection/>
    </xf>
    <xf numFmtId="164" fontId="7" fillId="33" borderId="105" xfId="62" applyNumberFormat="1" applyFont="1" applyFill="1" applyBorder="1" applyAlignment="1">
      <alignment/>
      <protection/>
    </xf>
    <xf numFmtId="164" fontId="7" fillId="33" borderId="106" xfId="62" applyNumberFormat="1" applyFont="1" applyFill="1" applyBorder="1" applyAlignment="1">
      <alignment/>
      <protection/>
    </xf>
    <xf numFmtId="164" fontId="7" fillId="36" borderId="102" xfId="62" applyNumberFormat="1" applyFont="1" applyFill="1" applyBorder="1" applyAlignment="1">
      <alignment/>
      <protection/>
    </xf>
    <xf numFmtId="164" fontId="7" fillId="41" borderId="105" xfId="62" applyNumberFormat="1" applyFont="1" applyFill="1" applyBorder="1" applyAlignment="1">
      <alignment/>
      <protection/>
    </xf>
    <xf numFmtId="164" fontId="7" fillId="41" borderId="107" xfId="62" applyNumberFormat="1" applyFont="1" applyFill="1" applyBorder="1" applyAlignment="1">
      <alignment/>
      <protection/>
    </xf>
    <xf numFmtId="164" fontId="7" fillId="41" borderId="103" xfId="61" applyNumberFormat="1" applyFont="1" applyFill="1" applyBorder="1" applyAlignment="1">
      <alignment/>
      <protection/>
    </xf>
    <xf numFmtId="164" fontId="7" fillId="36" borderId="104" xfId="62" applyNumberFormat="1" applyFont="1" applyFill="1" applyBorder="1" applyAlignment="1">
      <alignment/>
      <protection/>
    </xf>
    <xf numFmtId="164" fontId="7" fillId="41" borderId="102" xfId="62" applyNumberFormat="1" applyFont="1" applyFill="1" applyBorder="1" applyAlignment="1">
      <alignment/>
      <protection/>
    </xf>
    <xf numFmtId="164" fontId="7" fillId="41" borderId="102" xfId="61" applyNumberFormat="1" applyFont="1" applyFill="1" applyBorder="1" applyAlignment="1">
      <alignment/>
      <protection/>
    </xf>
    <xf numFmtId="164" fontId="7" fillId="41" borderId="106" xfId="62" applyNumberFormat="1" applyFont="1" applyFill="1" applyBorder="1" applyAlignment="1">
      <alignment/>
      <protection/>
    </xf>
    <xf numFmtId="1" fontId="7" fillId="0" borderId="84" xfId="0" applyNumberFormat="1" applyFont="1" applyFill="1" applyBorder="1" applyAlignment="1">
      <alignment horizontal="center"/>
    </xf>
    <xf numFmtId="0" fontId="15" fillId="0" borderId="85" xfId="0" applyFont="1" applyFill="1" applyBorder="1" applyAlignment="1">
      <alignment horizontal="left" vertical="center"/>
    </xf>
    <xf numFmtId="1" fontId="7" fillId="41" borderId="101" xfId="0" applyNumberFormat="1" applyFont="1" applyFill="1" applyBorder="1" applyAlignment="1">
      <alignment horizontal="center"/>
    </xf>
    <xf numFmtId="0" fontId="7" fillId="0" borderId="102" xfId="60" applyNumberFormat="1" applyFont="1" applyFill="1" applyBorder="1" applyAlignment="1">
      <alignment horizontal="center"/>
      <protection/>
    </xf>
    <xf numFmtId="0" fontId="7" fillId="0" borderId="106" xfId="60" applyFont="1" applyFill="1" applyBorder="1" applyAlignment="1">
      <alignment horizontal="center"/>
      <protection/>
    </xf>
    <xf numFmtId="0" fontId="15" fillId="0" borderId="92" xfId="0" applyFont="1" applyFill="1" applyBorder="1" applyAlignment="1">
      <alignment horizontal="left" vertical="center"/>
    </xf>
    <xf numFmtId="164" fontId="7" fillId="41" borderId="105" xfId="61" applyNumberFormat="1" applyFont="1" applyFill="1" applyBorder="1" applyAlignment="1">
      <alignment vertical="center"/>
      <protection/>
    </xf>
    <xf numFmtId="164" fontId="7" fillId="41" borderId="103" xfId="62" applyNumberFormat="1" applyFont="1" applyFill="1" applyBorder="1" applyAlignment="1">
      <alignment vertical="center"/>
      <protection/>
    </xf>
    <xf numFmtId="49" fontId="7" fillId="0" borderId="22" xfId="0" applyNumberFormat="1" applyFont="1" applyFill="1" applyBorder="1" applyAlignment="1">
      <alignment horizontal="center" vertical="center"/>
    </xf>
    <xf numFmtId="164" fontId="7" fillId="41" borderId="89" xfId="61" applyNumberFormat="1" applyFont="1" applyFill="1" applyBorder="1" applyAlignment="1">
      <alignment/>
      <protection/>
    </xf>
    <xf numFmtId="164" fontId="7" fillId="41" borderId="91" xfId="62" applyNumberFormat="1" applyFont="1" applyFill="1" applyBorder="1" applyAlignment="1">
      <alignment/>
      <protection/>
    </xf>
    <xf numFmtId="164" fontId="7" fillId="41" borderId="96" xfId="61" applyNumberFormat="1" applyFont="1" applyFill="1" applyBorder="1" applyAlignment="1">
      <alignment/>
      <protection/>
    </xf>
    <xf numFmtId="164" fontId="7" fillId="41" borderId="98" xfId="62" applyNumberFormat="1" applyFont="1" applyFill="1" applyBorder="1" applyAlignment="1">
      <alignment/>
      <protection/>
    </xf>
    <xf numFmtId="1" fontId="7" fillId="0" borderId="108" xfId="0" applyNumberFormat="1" applyFont="1" applyFill="1" applyBorder="1" applyAlignment="1">
      <alignment horizontal="center"/>
    </xf>
    <xf numFmtId="49" fontId="7" fillId="0" borderId="109" xfId="60" applyNumberFormat="1" applyFont="1" applyFill="1" applyBorder="1" applyAlignment="1">
      <alignment horizontal="center"/>
      <protection/>
    </xf>
    <xf numFmtId="49" fontId="7" fillId="0" borderId="108" xfId="60" applyNumberFormat="1" applyFont="1" applyFill="1" applyBorder="1" applyAlignment="1">
      <alignment horizontal="center"/>
      <protection/>
    </xf>
    <xf numFmtId="0" fontId="7" fillId="0" borderId="99" xfId="60" applyFont="1" applyBorder="1" applyAlignment="1">
      <alignment horizontal="center"/>
      <protection/>
    </xf>
    <xf numFmtId="0" fontId="7" fillId="0" borderId="89" xfId="60" applyNumberFormat="1" applyFont="1" applyFill="1" applyBorder="1" applyAlignment="1">
      <alignment horizontal="center"/>
      <protection/>
    </xf>
    <xf numFmtId="0" fontId="15" fillId="0" borderId="110" xfId="0" applyFont="1" applyFill="1" applyBorder="1" applyAlignment="1">
      <alignment horizontal="left" vertical="center"/>
    </xf>
    <xf numFmtId="164" fontId="7" fillId="37" borderId="85" xfId="62" applyNumberFormat="1" applyFont="1" applyFill="1" applyBorder="1" applyAlignment="1">
      <alignment vertical="center"/>
      <protection/>
    </xf>
    <xf numFmtId="164" fontId="7" fillId="41" borderId="89" xfId="60" applyNumberFormat="1" applyFont="1" applyFill="1" applyBorder="1" applyAlignment="1">
      <alignment vertical="center"/>
      <protection/>
    </xf>
    <xf numFmtId="164" fontId="7" fillId="41" borderId="91" xfId="60" applyNumberFormat="1" applyFont="1" applyFill="1" applyBorder="1" applyAlignment="1">
      <alignment vertical="center"/>
      <protection/>
    </xf>
    <xf numFmtId="164" fontId="7" fillId="41" borderId="90" xfId="60" applyNumberFormat="1" applyFont="1" applyFill="1" applyBorder="1" applyAlignment="1">
      <alignment vertical="center"/>
      <protection/>
    </xf>
    <xf numFmtId="49" fontId="7" fillId="0" borderId="111" xfId="60" applyNumberFormat="1" applyFont="1" applyFill="1" applyBorder="1" applyAlignment="1">
      <alignment horizontal="center"/>
      <protection/>
    </xf>
    <xf numFmtId="0" fontId="7" fillId="0" borderId="100" xfId="60" applyFont="1" applyBorder="1" applyAlignment="1">
      <alignment horizontal="center"/>
      <protection/>
    </xf>
    <xf numFmtId="0" fontId="7" fillId="0" borderId="96" xfId="60" applyNumberFormat="1" applyFont="1" applyFill="1" applyBorder="1" applyAlignment="1">
      <alignment horizontal="center"/>
      <protection/>
    </xf>
    <xf numFmtId="0" fontId="7" fillId="0" borderId="98" xfId="60" applyFont="1" applyFill="1" applyBorder="1" applyAlignment="1">
      <alignment horizontal="center"/>
      <protection/>
    </xf>
    <xf numFmtId="0" fontId="15" fillId="0" borderId="112" xfId="0" applyFont="1" applyFill="1" applyBorder="1" applyAlignment="1">
      <alignment horizontal="left" vertical="center"/>
    </xf>
    <xf numFmtId="164" fontId="7" fillId="37" borderId="92" xfId="62" applyNumberFormat="1" applyFont="1" applyFill="1" applyBorder="1" applyAlignment="1">
      <alignment vertical="center"/>
      <protection/>
    </xf>
    <xf numFmtId="164" fontId="7" fillId="41" borderId="96" xfId="60" applyNumberFormat="1" applyFont="1" applyFill="1" applyBorder="1" applyAlignment="1">
      <alignment vertical="center"/>
      <protection/>
    </xf>
    <xf numFmtId="164" fontId="7" fillId="41" borderId="98" xfId="60" applyNumberFormat="1" applyFont="1" applyFill="1" applyBorder="1" applyAlignment="1">
      <alignment vertical="center"/>
      <protection/>
    </xf>
    <xf numFmtId="164" fontId="7" fillId="41" borderId="97" xfId="60" applyNumberFormat="1" applyFont="1" applyFill="1" applyBorder="1" applyAlignment="1">
      <alignment vertical="center"/>
      <protection/>
    </xf>
    <xf numFmtId="0" fontId="7" fillId="0" borderId="29" xfId="60" applyFont="1" applyBorder="1" applyAlignment="1">
      <alignment horizontal="center"/>
      <protection/>
    </xf>
    <xf numFmtId="0" fontId="7" fillId="0" borderId="105" xfId="60" applyNumberFormat="1" applyFont="1" applyFill="1" applyBorder="1" applyAlignment="1">
      <alignment horizontal="center"/>
      <protection/>
    </xf>
    <xf numFmtId="0" fontId="7" fillId="0" borderId="113" xfId="0" applyFont="1" applyFill="1" applyBorder="1" applyAlignment="1">
      <alignment horizontal="left" vertical="center"/>
    </xf>
    <xf numFmtId="164" fontId="7" fillId="37" borderId="101" xfId="62" applyNumberFormat="1" applyFont="1" applyFill="1" applyBorder="1" applyAlignment="1">
      <alignment vertical="center"/>
      <protection/>
    </xf>
    <xf numFmtId="164" fontId="7" fillId="41" borderId="105" xfId="60" applyNumberFormat="1" applyFont="1" applyFill="1" applyBorder="1" applyAlignment="1">
      <alignment vertical="center"/>
      <protection/>
    </xf>
    <xf numFmtId="164" fontId="7" fillId="41" borderId="103" xfId="60" applyNumberFormat="1" applyFont="1" applyFill="1" applyBorder="1" applyAlignment="1">
      <alignment vertical="center"/>
      <protection/>
    </xf>
    <xf numFmtId="164" fontId="7" fillId="41" borderId="107" xfId="60" applyNumberFormat="1" applyFont="1" applyFill="1" applyBorder="1" applyAlignment="1">
      <alignment vertical="center"/>
      <protection/>
    </xf>
    <xf numFmtId="0" fontId="7" fillId="0" borderId="114" xfId="0" applyFont="1" applyFill="1" applyBorder="1" applyAlignment="1">
      <alignment horizontal="left" vertical="center"/>
    </xf>
    <xf numFmtId="49" fontId="7" fillId="0" borderId="108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0" fontId="7" fillId="0" borderId="29" xfId="60" applyNumberFormat="1" applyFont="1" applyFill="1" applyBorder="1" applyAlignment="1">
      <alignment horizontal="center"/>
      <protection/>
    </xf>
    <xf numFmtId="0" fontId="7" fillId="33" borderId="103" xfId="60" applyFont="1" applyFill="1" applyBorder="1" applyAlignment="1">
      <alignment horizontal="center"/>
      <protection/>
    </xf>
    <xf numFmtId="164" fontId="7" fillId="36" borderId="104" xfId="62" applyNumberFormat="1" applyFont="1" applyFill="1" applyBorder="1">
      <alignment/>
      <protection/>
    </xf>
    <xf numFmtId="164" fontId="7" fillId="33" borderId="102" xfId="62" applyNumberFormat="1" applyFont="1" applyFill="1" applyBorder="1" applyAlignment="1" quotePrefix="1">
      <alignment/>
      <protection/>
    </xf>
    <xf numFmtId="164" fontId="7" fillId="33" borderId="105" xfId="62" applyNumberFormat="1" applyFont="1" applyFill="1" applyBorder="1" applyAlignment="1" quotePrefix="1">
      <alignment/>
      <protection/>
    </xf>
    <xf numFmtId="164" fontId="7" fillId="36" borderId="105" xfId="62" applyNumberFormat="1" applyFont="1" applyFill="1" applyBorder="1">
      <alignment/>
      <protection/>
    </xf>
    <xf numFmtId="164" fontId="7" fillId="41" borderId="105" xfId="62" applyNumberFormat="1" applyFont="1" applyFill="1" applyBorder="1" applyAlignment="1" quotePrefix="1">
      <alignment/>
      <protection/>
    </xf>
    <xf numFmtId="164" fontId="7" fillId="41" borderId="103" xfId="62" applyNumberFormat="1" applyFont="1" applyFill="1" applyBorder="1" applyAlignment="1">
      <alignment/>
      <protection/>
    </xf>
    <xf numFmtId="164" fontId="7" fillId="36" borderId="88" xfId="62" applyNumberFormat="1" applyFont="1" applyFill="1" applyBorder="1">
      <alignment/>
      <protection/>
    </xf>
    <xf numFmtId="164" fontId="7" fillId="33" borderId="89" xfId="62" applyNumberFormat="1" applyFont="1" applyFill="1" applyBorder="1" applyAlignment="1" quotePrefix="1">
      <alignment/>
      <protection/>
    </xf>
    <xf numFmtId="164" fontId="7" fillId="36" borderId="89" xfId="62" applyNumberFormat="1" applyFont="1" applyFill="1" applyBorder="1">
      <alignment/>
      <protection/>
    </xf>
    <xf numFmtId="164" fontId="7" fillId="41" borderId="89" xfId="62" applyNumberFormat="1" applyFont="1" applyFill="1" applyBorder="1" applyAlignment="1" quotePrefix="1">
      <alignment/>
      <protection/>
    </xf>
    <xf numFmtId="0" fontId="7" fillId="41" borderId="92" xfId="60" applyFont="1" applyFill="1" applyBorder="1" applyAlignment="1" quotePrefix="1">
      <alignment horizontal="center"/>
      <protection/>
    </xf>
    <xf numFmtId="49" fontId="7" fillId="0" borderId="16" xfId="60" applyNumberFormat="1" applyFont="1" applyBorder="1" applyAlignment="1">
      <alignment horizontal="center"/>
      <protection/>
    </xf>
    <xf numFmtId="0" fontId="7" fillId="33" borderId="48" xfId="60" applyNumberFormat="1" applyFont="1" applyFill="1" applyBorder="1" applyAlignment="1">
      <alignment horizontal="center"/>
      <protection/>
    </xf>
    <xf numFmtId="0" fontId="15" fillId="0" borderId="18" xfId="0" applyFont="1" applyFill="1" applyBorder="1" applyAlignment="1">
      <alignment horizontal="left" vertical="center"/>
    </xf>
    <xf numFmtId="164" fontId="7" fillId="36" borderId="55" xfId="62" applyNumberFormat="1" applyFont="1" applyFill="1" applyBorder="1">
      <alignment/>
      <protection/>
    </xf>
    <xf numFmtId="0" fontId="7" fillId="33" borderId="99" xfId="60" applyNumberFormat="1" applyFont="1" applyFill="1" applyBorder="1" applyAlignment="1">
      <alignment horizontal="center"/>
      <protection/>
    </xf>
    <xf numFmtId="164" fontId="7" fillId="36" borderId="96" xfId="62" applyNumberFormat="1" applyFont="1" applyFill="1" applyBorder="1">
      <alignment/>
      <protection/>
    </xf>
    <xf numFmtId="164" fontId="7" fillId="36" borderId="95" xfId="62" applyNumberFormat="1" applyFont="1" applyFill="1" applyBorder="1">
      <alignment/>
      <protection/>
    </xf>
    <xf numFmtId="0" fontId="7" fillId="0" borderId="0" xfId="60" applyFont="1" applyBorder="1" applyAlignment="1">
      <alignment horizontal="center"/>
      <protection/>
    </xf>
    <xf numFmtId="0" fontId="7" fillId="0" borderId="55" xfId="60" applyNumberFormat="1" applyFont="1" applyFill="1" applyBorder="1" applyAlignment="1">
      <alignment horizontal="center"/>
      <protection/>
    </xf>
    <xf numFmtId="0" fontId="15" fillId="0" borderId="115" xfId="0" applyFont="1" applyFill="1" applyBorder="1" applyAlignment="1">
      <alignment horizontal="left" vertical="center"/>
    </xf>
    <xf numFmtId="164" fontId="7" fillId="37" borderId="18" xfId="62" applyNumberFormat="1" applyFont="1" applyFill="1" applyBorder="1" applyAlignment="1">
      <alignment vertical="center"/>
      <protection/>
    </xf>
    <xf numFmtId="164" fontId="7" fillId="41" borderId="55" xfId="60" applyNumberFormat="1" applyFont="1" applyFill="1" applyBorder="1" applyAlignment="1">
      <alignment vertical="center"/>
      <protection/>
    </xf>
    <xf numFmtId="164" fontId="7" fillId="41" borderId="17" xfId="60" applyNumberFormat="1" applyFont="1" applyFill="1" applyBorder="1" applyAlignment="1">
      <alignment vertical="center"/>
      <protection/>
    </xf>
    <xf numFmtId="164" fontId="7" fillId="41" borderId="54" xfId="60" applyNumberFormat="1" applyFont="1" applyFill="1" applyBorder="1" applyAlignment="1">
      <alignment vertical="center"/>
      <protection/>
    </xf>
    <xf numFmtId="0" fontId="15" fillId="0" borderId="113" xfId="0" applyFont="1" applyFill="1" applyBorder="1" applyAlignment="1">
      <alignment horizontal="left" vertical="center"/>
    </xf>
    <xf numFmtId="0" fontId="7" fillId="41" borderId="41" xfId="0" applyFont="1" applyFill="1" applyBorder="1" applyAlignment="1">
      <alignment horizontal="left"/>
    </xf>
    <xf numFmtId="164" fontId="7" fillId="41" borderId="55" xfId="62" applyNumberFormat="1" applyFont="1" applyFill="1" applyBorder="1" applyAlignment="1" quotePrefix="1">
      <alignment/>
      <protection/>
    </xf>
    <xf numFmtId="0" fontId="7" fillId="33" borderId="89" xfId="60" applyNumberFormat="1" applyFont="1" applyFill="1" applyBorder="1" applyAlignment="1">
      <alignment horizontal="center"/>
      <protection/>
    </xf>
    <xf numFmtId="0" fontId="7" fillId="41" borderId="85" xfId="0" applyFont="1" applyFill="1" applyBorder="1" applyAlignment="1">
      <alignment horizontal="left" vertical="center"/>
    </xf>
    <xf numFmtId="0" fontId="7" fillId="33" borderId="96" xfId="60" applyNumberFormat="1" applyFont="1" applyFill="1" applyBorder="1" applyAlignment="1">
      <alignment horizontal="center"/>
      <protection/>
    </xf>
    <xf numFmtId="0" fontId="7" fillId="41" borderId="92" xfId="0" applyFont="1" applyFill="1" applyBorder="1" applyAlignment="1">
      <alignment horizontal="left" vertical="center"/>
    </xf>
    <xf numFmtId="164" fontId="7" fillId="39" borderId="97" xfId="62" applyNumberFormat="1" applyFont="1" applyFill="1" applyBorder="1" applyAlignment="1">
      <alignment vertical="center"/>
      <protection/>
    </xf>
    <xf numFmtId="164" fontId="7" fillId="39" borderId="98" xfId="62" applyNumberFormat="1" applyFont="1" applyFill="1" applyBorder="1" applyAlignment="1">
      <alignment vertical="center"/>
      <protection/>
    </xf>
    <xf numFmtId="164" fontId="7" fillId="42" borderId="98" xfId="62" applyNumberFormat="1" applyFont="1" applyFill="1" applyBorder="1" applyAlignment="1">
      <alignment vertical="center"/>
      <protection/>
    </xf>
    <xf numFmtId="164" fontId="7" fillId="41" borderId="93" xfId="62" applyNumberFormat="1" applyFont="1" applyFill="1" applyBorder="1" applyAlignment="1" quotePrefix="1">
      <alignment vertical="center"/>
      <protection/>
    </xf>
    <xf numFmtId="164" fontId="7" fillId="41" borderId="96" xfId="62" applyNumberFormat="1" applyFont="1" applyFill="1" applyBorder="1" applyAlignment="1" quotePrefix="1">
      <alignment vertical="center"/>
      <protection/>
    </xf>
    <xf numFmtId="164" fontId="7" fillId="39" borderId="90" xfId="62" applyNumberFormat="1" applyFont="1" applyFill="1" applyBorder="1" applyAlignment="1">
      <alignment vertical="center"/>
      <protection/>
    </xf>
    <xf numFmtId="164" fontId="7" fillId="39" borderId="91" xfId="62" applyNumberFormat="1" applyFont="1" applyFill="1" applyBorder="1" applyAlignment="1">
      <alignment vertical="center"/>
      <protection/>
    </xf>
    <xf numFmtId="164" fontId="7" fillId="42" borderId="91" xfId="62" applyNumberFormat="1" applyFont="1" applyFill="1" applyBorder="1" applyAlignment="1">
      <alignment vertical="center"/>
      <protection/>
    </xf>
    <xf numFmtId="164" fontId="7" fillId="41" borderId="86" xfId="62" applyNumberFormat="1" applyFont="1" applyFill="1" applyBorder="1" applyAlignment="1" quotePrefix="1">
      <alignment vertical="center"/>
      <protection/>
    </xf>
    <xf numFmtId="164" fontId="7" fillId="41" borderId="89" xfId="62" applyNumberFormat="1" applyFont="1" applyFill="1" applyBorder="1" applyAlignment="1" quotePrefix="1">
      <alignment vertical="center"/>
      <protection/>
    </xf>
    <xf numFmtId="164" fontId="7" fillId="41" borderId="99" xfId="62" applyNumberFormat="1" applyFont="1" applyFill="1" applyBorder="1" applyAlignment="1">
      <alignment vertical="center"/>
      <protection/>
    </xf>
    <xf numFmtId="164" fontId="7" fillId="41" borderId="29" xfId="62" applyNumberFormat="1" applyFont="1" applyFill="1" applyBorder="1" applyAlignment="1">
      <alignment vertical="center"/>
      <protection/>
    </xf>
    <xf numFmtId="164" fontId="7" fillId="41" borderId="86" xfId="60" applyNumberFormat="1" applyFont="1" applyFill="1" applyBorder="1" applyAlignment="1">
      <alignment vertical="center"/>
      <protection/>
    </xf>
    <xf numFmtId="164" fontId="7" fillId="41" borderId="93" xfId="60" applyNumberFormat="1" applyFont="1" applyFill="1" applyBorder="1" applyAlignment="1">
      <alignment vertical="center"/>
      <protection/>
    </xf>
    <xf numFmtId="164" fontId="7" fillId="41" borderId="102" xfId="60" applyNumberFormat="1" applyFont="1" applyFill="1" applyBorder="1" applyAlignment="1">
      <alignment vertical="center"/>
      <protection/>
    </xf>
    <xf numFmtId="164" fontId="7" fillId="41" borderId="40" xfId="60" applyNumberFormat="1" applyFont="1" applyFill="1" applyBorder="1" applyAlignment="1">
      <alignment vertical="center"/>
      <protection/>
    </xf>
    <xf numFmtId="164" fontId="7" fillId="41" borderId="54" xfId="60" applyNumberFormat="1" applyFont="1" applyFill="1" applyBorder="1" applyAlignment="1">
      <alignment horizontal="right"/>
      <protection/>
    </xf>
    <xf numFmtId="164" fontId="7" fillId="41" borderId="91" xfId="62" applyNumberFormat="1" applyFont="1" applyFill="1" applyBorder="1" applyAlignment="1" quotePrefix="1">
      <alignment vertical="center"/>
      <protection/>
    </xf>
    <xf numFmtId="164" fontId="7" fillId="41" borderId="98" xfId="62" applyNumberFormat="1" applyFont="1" applyFill="1" applyBorder="1" applyAlignment="1" quotePrefix="1">
      <alignment vertical="center"/>
      <protection/>
    </xf>
    <xf numFmtId="164" fontId="7" fillId="41" borderId="17" xfId="62" applyNumberFormat="1" applyFont="1" applyFill="1" applyBorder="1" applyAlignment="1" quotePrefix="1">
      <alignment/>
      <protection/>
    </xf>
    <xf numFmtId="164" fontId="7" fillId="41" borderId="91" xfId="62" applyNumberFormat="1" applyFont="1" applyFill="1" applyBorder="1" applyAlignment="1" quotePrefix="1">
      <alignment/>
      <protection/>
    </xf>
    <xf numFmtId="164" fontId="7" fillId="41" borderId="98" xfId="62" applyNumberFormat="1" applyFont="1" applyFill="1" applyBorder="1" applyAlignment="1" quotePrefix="1">
      <alignment/>
      <protection/>
    </xf>
    <xf numFmtId="0" fontId="7" fillId="0" borderId="43" xfId="0" applyFont="1" applyBorder="1" applyAlignment="1">
      <alignment horizontal="left" vertical="center"/>
    </xf>
    <xf numFmtId="164" fontId="7" fillId="36" borderId="21" xfId="62" applyNumberFormat="1" applyFont="1" applyFill="1" applyBorder="1">
      <alignment/>
      <protection/>
    </xf>
    <xf numFmtId="0" fontId="7" fillId="0" borderId="26" xfId="0" applyFont="1" applyBorder="1" applyAlignment="1">
      <alignment horizontal="left" vertical="center"/>
    </xf>
    <xf numFmtId="0" fontId="7" fillId="0" borderId="85" xfId="0" applyFont="1" applyBorder="1" applyAlignment="1">
      <alignment horizontal="left" vertical="center"/>
    </xf>
    <xf numFmtId="0" fontId="7" fillId="0" borderId="101" xfId="0" applyFont="1" applyBorder="1" applyAlignment="1">
      <alignment horizontal="left" vertical="center"/>
    </xf>
    <xf numFmtId="164" fontId="7" fillId="41" borderId="45" xfId="62" applyNumberFormat="1" applyFont="1" applyFill="1" applyBorder="1" applyAlignment="1" quotePrefix="1">
      <alignment/>
      <protection/>
    </xf>
    <xf numFmtId="0" fontId="7" fillId="41" borderId="26" xfId="0" applyFont="1" applyFill="1" applyBorder="1" applyAlignment="1">
      <alignment horizontal="left" vertical="center"/>
    </xf>
    <xf numFmtId="0" fontId="7" fillId="0" borderId="116" xfId="0" applyFont="1" applyFill="1" applyBorder="1" applyAlignment="1">
      <alignment horizontal="left" vertical="center"/>
    </xf>
    <xf numFmtId="0" fontId="7" fillId="0" borderId="45" xfId="60" applyNumberFormat="1" applyFont="1" applyFill="1" applyBorder="1" applyAlignment="1">
      <alignment horizontal="center" vertical="center"/>
      <protection/>
    </xf>
    <xf numFmtId="164" fontId="7" fillId="36" borderId="43" xfId="62" applyNumberFormat="1" applyFont="1" applyFill="1" applyBorder="1" applyAlignment="1">
      <alignment vertical="center"/>
      <protection/>
    </xf>
    <xf numFmtId="1" fontId="7" fillId="41" borderId="85" xfId="0" applyNumberFormat="1" applyFont="1" applyFill="1" applyBorder="1" applyAlignment="1">
      <alignment horizontal="center" vertical="center"/>
    </xf>
    <xf numFmtId="0" fontId="7" fillId="0" borderId="86" xfId="60" applyNumberFormat="1" applyFont="1" applyFill="1" applyBorder="1" applyAlignment="1">
      <alignment horizontal="center" vertical="center"/>
      <protection/>
    </xf>
    <xf numFmtId="0" fontId="7" fillId="0" borderId="87" xfId="60" applyFont="1" applyFill="1" applyBorder="1" applyAlignment="1">
      <alignment horizontal="center" vertical="center"/>
      <protection/>
    </xf>
    <xf numFmtId="164" fontId="7" fillId="36" borderId="85" xfId="62" applyNumberFormat="1" applyFont="1" applyFill="1" applyBorder="1" applyAlignment="1">
      <alignment vertical="center"/>
      <protection/>
    </xf>
    <xf numFmtId="164" fontId="7" fillId="41" borderId="90" xfId="62" applyNumberFormat="1" applyFont="1" applyFill="1" applyBorder="1" applyAlignment="1">
      <alignment vertical="center"/>
      <protection/>
    </xf>
    <xf numFmtId="164" fontId="7" fillId="41" borderId="91" xfId="61" applyNumberFormat="1" applyFont="1" applyFill="1" applyBorder="1" applyAlignment="1">
      <alignment vertical="center"/>
      <protection/>
    </xf>
    <xf numFmtId="1" fontId="7" fillId="41" borderId="101" xfId="0" applyNumberFormat="1" applyFont="1" applyFill="1" applyBorder="1" applyAlignment="1">
      <alignment horizontal="center" vertical="center"/>
    </xf>
    <xf numFmtId="0" fontId="7" fillId="0" borderId="102" xfId="60" applyNumberFormat="1" applyFont="1" applyFill="1" applyBorder="1" applyAlignment="1">
      <alignment horizontal="center" vertical="center"/>
      <protection/>
    </xf>
    <xf numFmtId="0" fontId="7" fillId="0" borderId="106" xfId="60" applyFont="1" applyFill="1" applyBorder="1" applyAlignment="1">
      <alignment horizontal="center" vertical="center"/>
      <protection/>
    </xf>
    <xf numFmtId="164" fontId="7" fillId="36" borderId="101" xfId="62" applyNumberFormat="1" applyFont="1" applyFill="1" applyBorder="1" applyAlignment="1">
      <alignment vertical="center"/>
      <protection/>
    </xf>
    <xf numFmtId="164" fontId="7" fillId="41" borderId="107" xfId="62" applyNumberFormat="1" applyFont="1" applyFill="1" applyBorder="1" applyAlignment="1">
      <alignment vertical="center"/>
      <protection/>
    </xf>
    <xf numFmtId="164" fontId="7" fillId="41" borderId="103" xfId="61" applyNumberFormat="1" applyFont="1" applyFill="1" applyBorder="1" applyAlignment="1">
      <alignment vertical="center"/>
      <protection/>
    </xf>
    <xf numFmtId="1" fontId="7" fillId="0" borderId="60" xfId="0" applyNumberFormat="1" applyFont="1" applyFill="1" applyBorder="1" applyAlignment="1">
      <alignment horizontal="center"/>
    </xf>
    <xf numFmtId="1" fontId="7" fillId="41" borderId="43" xfId="0" applyNumberFormat="1" applyFont="1" applyFill="1" applyBorder="1" applyAlignment="1">
      <alignment horizontal="center"/>
    </xf>
    <xf numFmtId="0" fontId="7" fillId="0" borderId="45" xfId="60" applyNumberFormat="1" applyFont="1" applyFill="1" applyBorder="1" applyAlignment="1">
      <alignment horizontal="center"/>
      <protection/>
    </xf>
    <xf numFmtId="164" fontId="7" fillId="41" borderId="21" xfId="61" applyNumberFormat="1" applyFont="1" applyFill="1" applyBorder="1" applyAlignment="1">
      <alignment/>
      <protection/>
    </xf>
    <xf numFmtId="49" fontId="7" fillId="0" borderId="84" xfId="0" applyNumberFormat="1" applyFont="1" applyFill="1" applyBorder="1" applyAlignment="1">
      <alignment horizontal="center"/>
    </xf>
    <xf numFmtId="0" fontId="7" fillId="0" borderId="92" xfId="0" applyFont="1" applyFill="1" applyBorder="1" applyAlignment="1">
      <alignment horizontal="left" vertical="center"/>
    </xf>
    <xf numFmtId="0" fontId="15" fillId="0" borderId="114" xfId="0" applyFont="1" applyFill="1" applyBorder="1" applyAlignment="1">
      <alignment horizontal="left" vertical="center"/>
    </xf>
    <xf numFmtId="164" fontId="7" fillId="41" borderId="86" xfId="62" applyNumberFormat="1" applyFont="1" applyFill="1" applyBorder="1" applyAlignment="1">
      <alignment horizontal="right"/>
      <protection/>
    </xf>
    <xf numFmtId="164" fontId="7" fillId="41" borderId="93" xfId="62" applyNumberFormat="1" applyFont="1" applyFill="1" applyBorder="1" applyAlignment="1">
      <alignment horizontal="right"/>
      <protection/>
    </xf>
    <xf numFmtId="164" fontId="7" fillId="41" borderId="40" xfId="62" applyNumberFormat="1" applyFont="1" applyFill="1" applyBorder="1" applyAlignment="1">
      <alignment vertical="center"/>
      <protection/>
    </xf>
    <xf numFmtId="164" fontId="7" fillId="41" borderId="45" xfId="62" applyNumberFormat="1" applyFont="1" applyFill="1" applyBorder="1" applyAlignment="1">
      <alignment vertical="center"/>
      <protection/>
    </xf>
    <xf numFmtId="164" fontId="7" fillId="41" borderId="100" xfId="62" applyNumberFormat="1" applyFont="1" applyFill="1" applyBorder="1" applyAlignment="1">
      <alignment vertical="center"/>
      <protection/>
    </xf>
    <xf numFmtId="1" fontId="7" fillId="0" borderId="108" xfId="0" applyNumberFormat="1" applyFont="1" applyFill="1" applyBorder="1" applyAlignment="1">
      <alignment horizontal="center" vertical="center"/>
    </xf>
    <xf numFmtId="1" fontId="7" fillId="0" borderId="109" xfId="0" applyNumberFormat="1" applyFont="1" applyFill="1" applyBorder="1" applyAlignment="1">
      <alignment horizontal="center" vertical="center"/>
    </xf>
    <xf numFmtId="49" fontId="7" fillId="0" borderId="108" xfId="60" applyNumberFormat="1" applyFont="1" applyBorder="1" applyAlignment="1">
      <alignment horizontal="center"/>
      <protection/>
    </xf>
    <xf numFmtId="49" fontId="7" fillId="0" borderId="111" xfId="60" applyNumberFormat="1" applyFont="1" applyBorder="1" applyAlignment="1">
      <alignment horizontal="center"/>
      <protection/>
    </xf>
    <xf numFmtId="1" fontId="7" fillId="0" borderId="117" xfId="0" applyNumberFormat="1" applyFont="1" applyFill="1" applyBorder="1" applyAlignment="1">
      <alignment horizontal="center"/>
    </xf>
    <xf numFmtId="1" fontId="7" fillId="0" borderId="118" xfId="0" applyNumberFormat="1" applyFont="1" applyFill="1" applyBorder="1" applyAlignment="1">
      <alignment horizontal="center"/>
    </xf>
    <xf numFmtId="49" fontId="7" fillId="0" borderId="117" xfId="0" applyNumberFormat="1" applyFont="1" applyFill="1" applyBorder="1" applyAlignment="1">
      <alignment horizontal="center" vertical="center"/>
    </xf>
    <xf numFmtId="49" fontId="7" fillId="0" borderId="119" xfId="0" applyNumberFormat="1" applyFont="1" applyFill="1" applyBorder="1" applyAlignment="1">
      <alignment horizontal="center" vertical="center"/>
    </xf>
    <xf numFmtId="1" fontId="7" fillId="0" borderId="119" xfId="0" applyNumberFormat="1" applyFont="1" applyFill="1" applyBorder="1" applyAlignment="1">
      <alignment horizontal="center"/>
    </xf>
    <xf numFmtId="1" fontId="7" fillId="0" borderId="108" xfId="0" applyNumberFormat="1" applyFont="1" applyFill="1" applyBorder="1" applyAlignment="1">
      <alignment horizontal="center"/>
    </xf>
    <xf numFmtId="1" fontId="7" fillId="0" borderId="111" xfId="0" applyNumberFormat="1" applyFont="1" applyFill="1" applyBorder="1" applyAlignment="1">
      <alignment horizontal="center"/>
    </xf>
    <xf numFmtId="164" fontId="7" fillId="41" borderId="17" xfId="62" applyNumberFormat="1" applyFont="1" applyFill="1" applyBorder="1" applyAlignment="1">
      <alignment/>
      <protection/>
    </xf>
    <xf numFmtId="49" fontId="7" fillId="0" borderId="120" xfId="0" applyNumberFormat="1" applyFont="1" applyFill="1" applyBorder="1" applyAlignment="1">
      <alignment horizontal="center"/>
    </xf>
    <xf numFmtId="1" fontId="7" fillId="41" borderId="18" xfId="0" applyNumberFormat="1" applyFont="1" applyFill="1" applyBorder="1" applyAlignment="1">
      <alignment horizontal="center"/>
    </xf>
    <xf numFmtId="0" fontId="7" fillId="33" borderId="55" xfId="60" applyNumberFormat="1" applyFont="1" applyFill="1" applyBorder="1" applyAlignment="1">
      <alignment horizontal="center"/>
      <protection/>
    </xf>
    <xf numFmtId="164" fontId="7" fillId="41" borderId="0" xfId="62" applyNumberFormat="1" applyFont="1" applyFill="1" applyBorder="1" applyAlignment="1">
      <alignment/>
      <protection/>
    </xf>
    <xf numFmtId="164" fontId="7" fillId="41" borderId="55" xfId="61" applyNumberFormat="1" applyFont="1" applyFill="1" applyBorder="1" applyAlignment="1">
      <alignment/>
      <protection/>
    </xf>
    <xf numFmtId="0" fontId="15" fillId="0" borderId="74" xfId="0" applyFont="1" applyFill="1" applyBorder="1" applyAlignment="1">
      <alignment horizontal="left" vertical="center" wrapText="1"/>
    </xf>
    <xf numFmtId="49" fontId="7" fillId="0" borderId="34" xfId="60" applyNumberFormat="1" applyFont="1" applyFill="1" applyBorder="1" applyAlignment="1">
      <alignment horizontal="center" vertical="center"/>
      <protection/>
    </xf>
    <xf numFmtId="0" fontId="7" fillId="0" borderId="36" xfId="60" applyFont="1" applyBorder="1" applyAlignment="1">
      <alignment horizontal="center" vertical="center"/>
      <protection/>
    </xf>
    <xf numFmtId="164" fontId="7" fillId="41" borderId="31" xfId="62" applyNumberFormat="1" applyFont="1" applyFill="1" applyBorder="1" applyAlignment="1">
      <alignment horizontal="right"/>
      <protection/>
    </xf>
    <xf numFmtId="164" fontId="7" fillId="33" borderId="38" xfId="62" applyNumberFormat="1" applyFont="1" applyFill="1" applyBorder="1" applyAlignment="1">
      <alignment horizontal="right"/>
      <protection/>
    </xf>
    <xf numFmtId="164" fontId="7" fillId="41" borderId="35" xfId="62" applyNumberFormat="1" applyFont="1" applyFill="1" applyBorder="1" applyAlignment="1">
      <alignment horizontal="right"/>
      <protection/>
    </xf>
    <xf numFmtId="0" fontId="7" fillId="33" borderId="100" xfId="60" applyNumberFormat="1" applyFont="1" applyFill="1" applyBorder="1" applyAlignment="1">
      <alignment horizontal="center"/>
      <protection/>
    </xf>
    <xf numFmtId="164" fontId="7" fillId="33" borderId="96" xfId="62" applyNumberFormat="1" applyFont="1" applyFill="1" applyBorder="1" applyAlignment="1" quotePrefix="1">
      <alignment/>
      <protection/>
    </xf>
    <xf numFmtId="164" fontId="7" fillId="41" borderId="96" xfId="62" applyNumberFormat="1" applyFont="1" applyFill="1" applyBorder="1" applyAlignment="1" quotePrefix="1">
      <alignment/>
      <protection/>
    </xf>
    <xf numFmtId="0" fontId="15" fillId="0" borderId="33" xfId="0" applyFont="1" applyFill="1" applyBorder="1" applyAlignment="1">
      <alignment horizontal="left" vertical="center"/>
    </xf>
    <xf numFmtId="49" fontId="7" fillId="0" borderId="60" xfId="0" applyNumberFormat="1" applyFont="1" applyFill="1" applyBorder="1" applyAlignment="1">
      <alignment horizontal="center"/>
    </xf>
    <xf numFmtId="164" fontId="15" fillId="41" borderId="31" xfId="0" applyNumberFormat="1" applyFont="1" applyFill="1" applyBorder="1" applyAlignment="1">
      <alignment vertical="center"/>
    </xf>
    <xf numFmtId="0" fontId="7" fillId="41" borderId="42" xfId="0" applyFont="1" applyFill="1" applyBorder="1" applyAlignment="1">
      <alignment horizontal="left" vertical="center"/>
    </xf>
    <xf numFmtId="164" fontId="7" fillId="42" borderId="20" xfId="62" applyNumberFormat="1" applyFont="1" applyFill="1" applyBorder="1" applyAlignment="1">
      <alignment/>
      <protection/>
    </xf>
    <xf numFmtId="164" fontId="7" fillId="36" borderId="44" xfId="62" applyNumberFormat="1" applyFont="1" applyFill="1" applyBorder="1" applyAlignment="1">
      <alignment vertical="center"/>
      <protection/>
    </xf>
    <xf numFmtId="164" fontId="7" fillId="41" borderId="20" xfId="62" applyNumberFormat="1" applyFont="1" applyFill="1" applyBorder="1" applyAlignment="1" quotePrefix="1">
      <alignment/>
      <protection/>
    </xf>
    <xf numFmtId="1" fontId="7" fillId="0" borderId="32" xfId="0" applyNumberFormat="1" applyFont="1" applyFill="1" applyBorder="1" applyAlignment="1">
      <alignment horizontal="center"/>
    </xf>
    <xf numFmtId="164" fontId="7" fillId="39" borderId="28" xfId="62" applyNumberFormat="1" applyFont="1" applyFill="1" applyBorder="1" applyAlignment="1">
      <alignment/>
      <protection/>
    </xf>
    <xf numFmtId="164" fontId="7" fillId="39" borderId="39" xfId="62" applyNumberFormat="1" applyFont="1" applyFill="1" applyBorder="1" applyAlignment="1">
      <alignment/>
      <protection/>
    </xf>
    <xf numFmtId="164" fontId="7" fillId="42" borderId="23" xfId="62" applyNumberFormat="1" applyFont="1" applyFill="1" applyBorder="1" applyAlignment="1">
      <alignment/>
      <protection/>
    </xf>
    <xf numFmtId="164" fontId="7" fillId="42" borderId="28" xfId="62" applyNumberFormat="1" applyFont="1" applyFill="1" applyBorder="1" applyAlignment="1">
      <alignment/>
      <protection/>
    </xf>
    <xf numFmtId="164" fontId="7" fillId="41" borderId="39" xfId="62" applyNumberFormat="1" applyFont="1" applyFill="1" applyBorder="1" applyAlignment="1" quotePrefix="1">
      <alignment/>
      <protection/>
    </xf>
    <xf numFmtId="0" fontId="7" fillId="33" borderId="105" xfId="60" applyNumberFormat="1" applyFont="1" applyFill="1" applyBorder="1" applyAlignment="1">
      <alignment horizontal="center"/>
      <protection/>
    </xf>
    <xf numFmtId="164" fontId="7" fillId="38" borderId="101" xfId="62" applyNumberFormat="1" applyFont="1" applyFill="1" applyBorder="1" applyAlignment="1">
      <alignment vertical="center"/>
      <protection/>
    </xf>
    <xf numFmtId="164" fontId="7" fillId="39" borderId="107" xfId="62" applyNumberFormat="1" applyFont="1" applyFill="1" applyBorder="1" applyAlignment="1">
      <alignment/>
      <protection/>
    </xf>
    <xf numFmtId="164" fontId="7" fillId="39" borderId="103" xfId="62" applyNumberFormat="1" applyFont="1" applyFill="1" applyBorder="1" applyAlignment="1">
      <alignment/>
      <protection/>
    </xf>
    <xf numFmtId="164" fontId="7" fillId="41" borderId="29" xfId="62" applyNumberFormat="1" applyFont="1" applyFill="1" applyBorder="1" applyAlignment="1">
      <alignment/>
      <protection/>
    </xf>
    <xf numFmtId="164" fontId="7" fillId="42" borderId="103" xfId="62" applyNumberFormat="1" applyFont="1" applyFill="1" applyBorder="1" applyAlignment="1">
      <alignment/>
      <protection/>
    </xf>
    <xf numFmtId="164" fontId="7" fillId="36" borderId="104" xfId="62" applyNumberFormat="1" applyFont="1" applyFill="1" applyBorder="1" applyAlignment="1">
      <alignment vertical="center"/>
      <protection/>
    </xf>
    <xf numFmtId="164" fontId="7" fillId="41" borderId="102" xfId="62" applyNumberFormat="1" applyFont="1" applyFill="1" applyBorder="1" applyAlignment="1" quotePrefix="1">
      <alignment/>
      <protection/>
    </xf>
    <xf numFmtId="164" fontId="7" fillId="41" borderId="103" xfId="62" applyNumberFormat="1" applyFont="1" applyFill="1" applyBorder="1" applyAlignment="1" quotePrefix="1">
      <alignment/>
      <protection/>
    </xf>
    <xf numFmtId="49" fontId="15" fillId="41" borderId="26" xfId="0" applyNumberFormat="1" applyFont="1" applyFill="1" applyBorder="1" applyAlignment="1">
      <alignment vertical="center" wrapText="1"/>
    </xf>
    <xf numFmtId="0" fontId="7" fillId="41" borderId="41" xfId="0" applyFont="1" applyFill="1" applyBorder="1" applyAlignment="1">
      <alignment horizontal="left" vertical="center"/>
    </xf>
    <xf numFmtId="0" fontId="15" fillId="41" borderId="85" xfId="0" applyFont="1" applyFill="1" applyBorder="1" applyAlignment="1">
      <alignment horizontal="left" vertical="center"/>
    </xf>
    <xf numFmtId="0" fontId="15" fillId="41" borderId="92" xfId="0" applyFont="1" applyFill="1" applyBorder="1" applyAlignment="1">
      <alignment horizontal="left" vertical="center"/>
    </xf>
    <xf numFmtId="1" fontId="7" fillId="0" borderId="121" xfId="0" applyNumberFormat="1" applyFont="1" applyFill="1" applyBorder="1" applyAlignment="1">
      <alignment horizontal="center"/>
    </xf>
    <xf numFmtId="1" fontId="7" fillId="0" borderId="109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left" vertical="center"/>
    </xf>
    <xf numFmtId="164" fontId="7" fillId="36" borderId="88" xfId="61" applyNumberFormat="1" applyFont="1" applyFill="1" applyBorder="1" applyAlignment="1">
      <alignment vertical="center"/>
      <protection/>
    </xf>
    <xf numFmtId="164" fontId="7" fillId="36" borderId="41" xfId="61" applyNumberFormat="1" applyFont="1" applyFill="1" applyBorder="1" applyAlignment="1">
      <alignment horizontal="right"/>
      <protection/>
    </xf>
    <xf numFmtId="164" fontId="7" fillId="36" borderId="42" xfId="61" applyNumberFormat="1" applyFont="1" applyFill="1" applyBorder="1" applyAlignment="1">
      <alignment horizontal="right"/>
      <protection/>
    </xf>
    <xf numFmtId="164" fontId="7" fillId="36" borderId="42" xfId="61" applyNumberFormat="1" applyFont="1" applyFill="1" applyBorder="1" applyAlignment="1">
      <alignment/>
      <protection/>
    </xf>
    <xf numFmtId="164" fontId="7" fillId="36" borderId="42" xfId="61" applyNumberFormat="1" applyFont="1" applyFill="1" applyBorder="1" applyAlignment="1">
      <alignment vertical="center"/>
      <protection/>
    </xf>
    <xf numFmtId="164" fontId="7" fillId="36" borderId="42" xfId="61" applyNumberFormat="1" applyFont="1" applyFill="1" applyBorder="1" applyAlignment="1">
      <alignment horizontal="right" vertical="center"/>
      <protection/>
    </xf>
    <xf numFmtId="164" fontId="7" fillId="36" borderId="41" xfId="62" applyNumberFormat="1" applyFont="1" applyFill="1" applyBorder="1" applyAlignment="1">
      <alignment/>
      <protection/>
    </xf>
    <xf numFmtId="164" fontId="7" fillId="36" borderId="42" xfId="62" applyNumberFormat="1" applyFont="1" applyFill="1" applyBorder="1" applyAlignment="1">
      <alignment/>
      <protection/>
    </xf>
    <xf numFmtId="164" fontId="7" fillId="36" borderId="42" xfId="62" applyNumberFormat="1" applyFont="1" applyFill="1" applyBorder="1" applyAlignment="1">
      <alignment horizontal="right" vertical="center"/>
      <protection/>
    </xf>
    <xf numFmtId="49" fontId="7" fillId="0" borderId="117" xfId="0" applyNumberFormat="1" applyFont="1" applyFill="1" applyBorder="1" applyAlignment="1">
      <alignment horizontal="center"/>
    </xf>
    <xf numFmtId="0" fontId="8" fillId="33" borderId="122" xfId="62" applyFont="1" applyFill="1" applyBorder="1" applyAlignment="1" quotePrefix="1">
      <alignment horizontal="center"/>
      <protection/>
    </xf>
    <xf numFmtId="0" fontId="9" fillId="0" borderId="123" xfId="63" applyFont="1" applyBorder="1" applyAlignment="1">
      <alignment horizontal="center"/>
      <protection/>
    </xf>
    <xf numFmtId="0" fontId="8" fillId="33" borderId="123" xfId="62" applyFont="1" applyFill="1" applyBorder="1" applyAlignment="1">
      <alignment horizontal="center"/>
      <protection/>
    </xf>
  </cellXfs>
  <cellStyles count="71">
    <cellStyle name="Normal" xfId="0"/>
    <cellStyle name="_PERSONAL" xfId="15"/>
    <cellStyle name="_PERSONAL_1" xfId="16"/>
    <cellStyle name="_PERSONAL_1_laroux" xfId="17"/>
    <cellStyle name="20 % – Zvýraznění1" xfId="18"/>
    <cellStyle name="20 % – Zvýraznění2" xfId="19"/>
    <cellStyle name="20 % – Zvýraznění3" xfId="20"/>
    <cellStyle name="20 % – Zvýraznění4" xfId="21"/>
    <cellStyle name="20 % – Zvýraznění5" xfId="22"/>
    <cellStyle name="20 % – Zvýraznění6" xfId="23"/>
    <cellStyle name="40 % – Zvýraznění1" xfId="24"/>
    <cellStyle name="40 % – Zvýraznění2" xfId="25"/>
    <cellStyle name="40 % – Zvýraznění3" xfId="26"/>
    <cellStyle name="40 % – Zvýraznění4" xfId="27"/>
    <cellStyle name="40 % – Zvýraznění5" xfId="28"/>
    <cellStyle name="40 % – Zvýraznění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Celkem" xfId="36"/>
    <cellStyle name="Comma [0]_laroux" xfId="37"/>
    <cellStyle name="Comma_laroux" xfId="38"/>
    <cellStyle name="Currency [0]_laroux" xfId="39"/>
    <cellStyle name="Currency_laroux" xfId="40"/>
    <cellStyle name="Comma" xfId="41"/>
    <cellStyle name="Čárka 2" xfId="42"/>
    <cellStyle name="Comma [0]" xfId="43"/>
    <cellStyle name="Dziesiętny [0]_laroux" xfId="44"/>
    <cellStyle name="Dziesiętny_laroux" xfId="45"/>
    <cellStyle name="Hyperlink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_laroux" xfId="57"/>
    <cellStyle name="Normální 2" xfId="58"/>
    <cellStyle name="Normální 3" xfId="59"/>
    <cellStyle name="normální_čerp.A4_čerpání investic+ MHMP 2007" xfId="60"/>
    <cellStyle name="normální_čerp.A4_čerpání+výhled+MHMP 02,03" xfId="61"/>
    <cellStyle name="normální_Invest98" xfId="62"/>
    <cellStyle name="normální_List1" xfId="63"/>
    <cellStyle name="Normalny_laroux" xfId="64"/>
    <cellStyle name="Followed Hyperlink" xfId="65"/>
    <cellStyle name="Poznámka" xfId="66"/>
    <cellStyle name="Percent" xfId="67"/>
    <cellStyle name="Procenta 2" xfId="68"/>
    <cellStyle name="Propojená buňka" xfId="69"/>
    <cellStyle name="Správně" xfId="70"/>
    <cellStyle name="Styl 1" xfId="71"/>
    <cellStyle name="Text upozornění" xfId="72"/>
    <cellStyle name="Vstup" xfId="73"/>
    <cellStyle name="Výpočet" xfId="74"/>
    <cellStyle name="Výstup" xfId="75"/>
    <cellStyle name="Vysvětlující text" xfId="76"/>
    <cellStyle name="Walutowy [0]_laroux" xfId="77"/>
    <cellStyle name="Walutowy_laroux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R2" sqref="R2"/>
    </sheetView>
  </sheetViews>
  <sheetFormatPr defaultColWidth="9.140625" defaultRowHeight="12.75"/>
  <cols>
    <col min="1" max="1" width="12.8515625" style="0" customWidth="1"/>
    <col min="2" max="2" width="6.140625" style="0" customWidth="1"/>
    <col min="3" max="3" width="6.28125" style="0" customWidth="1"/>
    <col min="4" max="4" width="9.7109375" style="0" customWidth="1"/>
    <col min="5" max="5" width="59.140625" style="0" customWidth="1"/>
    <col min="6" max="6" width="9.140625" style="0" customWidth="1"/>
    <col min="7" max="9" width="9.140625" style="0" hidden="1" customWidth="1"/>
    <col min="10" max="10" width="10.140625" style="0" customWidth="1"/>
    <col min="11" max="13" width="9.140625" style="0" hidden="1" customWidth="1"/>
    <col min="15" max="17" width="9.140625" style="0" hidden="1" customWidth="1"/>
    <col min="18" max="18" width="10.7109375" style="0" customWidth="1"/>
  </cols>
  <sheetData>
    <row r="1" spans="1:18" ht="12.75">
      <c r="A1" s="134" t="s">
        <v>19</v>
      </c>
      <c r="B1" s="3"/>
      <c r="C1" s="3"/>
      <c r="D1" s="6"/>
      <c r="E1" s="135"/>
      <c r="F1" s="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 t="s">
        <v>314</v>
      </c>
    </row>
    <row r="2" spans="1:18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  <c r="O2" s="3"/>
      <c r="P2" s="3"/>
      <c r="Q2" s="3"/>
      <c r="R2" s="2"/>
    </row>
    <row r="3" spans="1:18" ht="16.5" thickBot="1">
      <c r="A3" s="209" t="s">
        <v>98</v>
      </c>
      <c r="B3" s="5"/>
      <c r="C3" s="5"/>
      <c r="D3" s="6"/>
      <c r="E3" s="5"/>
      <c r="F3" s="5"/>
      <c r="G3" s="5"/>
      <c r="H3" s="5"/>
      <c r="I3" s="7"/>
      <c r="J3" s="5"/>
      <c r="K3" s="5"/>
      <c r="L3" s="5"/>
      <c r="M3" s="5"/>
      <c r="N3" s="136"/>
      <c r="O3" s="136"/>
      <c r="P3" s="218" t="s">
        <v>20</v>
      </c>
      <c r="Q3" s="218"/>
      <c r="R3" s="340" t="s">
        <v>312</v>
      </c>
    </row>
    <row r="4" spans="1:18" ht="13.5" thickTop="1">
      <c r="A4" s="8"/>
      <c r="B4" s="9"/>
      <c r="C4" s="10"/>
      <c r="D4" s="11"/>
      <c r="E4" s="12"/>
      <c r="F4" s="13" t="s">
        <v>3</v>
      </c>
      <c r="G4" s="14" t="s">
        <v>40</v>
      </c>
      <c r="H4" s="14"/>
      <c r="I4" s="15"/>
      <c r="J4" s="16" t="s">
        <v>4</v>
      </c>
      <c r="K4" s="752" t="s">
        <v>5</v>
      </c>
      <c r="L4" s="753"/>
      <c r="M4" s="753"/>
      <c r="N4" s="121" t="s">
        <v>1</v>
      </c>
      <c r="O4" s="754" t="s">
        <v>2</v>
      </c>
      <c r="P4" s="754"/>
      <c r="Q4" s="754"/>
      <c r="R4" s="210" t="s">
        <v>53</v>
      </c>
    </row>
    <row r="5" spans="1:18" ht="12.75">
      <c r="A5" s="17" t="s">
        <v>21</v>
      </c>
      <c r="B5" s="95" t="s">
        <v>29</v>
      </c>
      <c r="C5" s="96" t="s">
        <v>30</v>
      </c>
      <c r="D5" s="18" t="s">
        <v>6</v>
      </c>
      <c r="E5" s="19" t="s">
        <v>7</v>
      </c>
      <c r="F5" s="20" t="s">
        <v>195</v>
      </c>
      <c r="G5" s="21" t="s">
        <v>34</v>
      </c>
      <c r="H5" s="21" t="s">
        <v>8</v>
      </c>
      <c r="I5" s="22" t="s">
        <v>36</v>
      </c>
      <c r="J5" s="20" t="s">
        <v>195</v>
      </c>
      <c r="K5" s="21" t="s">
        <v>34</v>
      </c>
      <c r="L5" s="21" t="s">
        <v>33</v>
      </c>
      <c r="M5" s="23" t="s">
        <v>36</v>
      </c>
      <c r="N5" s="122" t="s">
        <v>65</v>
      </c>
      <c r="O5" s="119" t="s">
        <v>34</v>
      </c>
      <c r="P5" s="21" t="s">
        <v>33</v>
      </c>
      <c r="Q5" s="21" t="s">
        <v>36</v>
      </c>
      <c r="R5" s="211" t="s">
        <v>51</v>
      </c>
    </row>
    <row r="6" spans="1:18" ht="12.75">
      <c r="A6" s="24" t="s">
        <v>28</v>
      </c>
      <c r="B6" s="25"/>
      <c r="C6" s="26"/>
      <c r="D6" s="27"/>
      <c r="E6" s="28"/>
      <c r="F6" s="29" t="s">
        <v>9</v>
      </c>
      <c r="G6" s="30" t="s">
        <v>10</v>
      </c>
      <c r="H6" s="30" t="s">
        <v>35</v>
      </c>
      <c r="I6" s="31" t="s">
        <v>37</v>
      </c>
      <c r="J6" s="32" t="s">
        <v>9</v>
      </c>
      <c r="K6" s="30" t="s">
        <v>10</v>
      </c>
      <c r="L6" s="30" t="s">
        <v>35</v>
      </c>
      <c r="M6" s="33" t="s">
        <v>38</v>
      </c>
      <c r="N6" s="123">
        <v>2022</v>
      </c>
      <c r="O6" s="120" t="s">
        <v>10</v>
      </c>
      <c r="P6" s="30" t="s">
        <v>35</v>
      </c>
      <c r="Q6" s="30" t="s">
        <v>39</v>
      </c>
      <c r="R6" s="212" t="s">
        <v>52</v>
      </c>
    </row>
    <row r="7" spans="1:18" ht="13.5" thickBot="1">
      <c r="A7" s="151" t="s">
        <v>23</v>
      </c>
      <c r="B7" s="34"/>
      <c r="C7" s="34"/>
      <c r="D7" s="34"/>
      <c r="E7" s="34"/>
      <c r="F7" s="35"/>
      <c r="G7" s="36"/>
      <c r="H7" s="36"/>
      <c r="I7" s="35"/>
      <c r="J7" s="35"/>
      <c r="K7" s="35"/>
      <c r="L7" s="35"/>
      <c r="M7" s="35"/>
      <c r="N7" s="179"/>
      <c r="O7" s="179"/>
      <c r="P7" s="179"/>
      <c r="Q7" s="179"/>
      <c r="R7" s="213"/>
    </row>
    <row r="8" spans="1:18" ht="13.5" thickBot="1">
      <c r="A8" s="432"/>
      <c r="B8" s="370"/>
      <c r="C8" s="370"/>
      <c r="D8" s="371"/>
      <c r="E8" s="372" t="s">
        <v>11</v>
      </c>
      <c r="F8" s="373">
        <f aca="true" t="shared" si="0" ref="F8:F13">SUM(G8:I8)</f>
        <v>65000</v>
      </c>
      <c r="G8" s="356">
        <f>SUM(G9:G22)</f>
        <v>65000</v>
      </c>
      <c r="H8" s="356">
        <f>SUM(H9:H22)</f>
        <v>0</v>
      </c>
      <c r="I8" s="356">
        <f>SUM(I9:I22)</f>
        <v>0</v>
      </c>
      <c r="J8" s="355">
        <f aca="true" t="shared" si="1" ref="J8:J21">SUM(K8:M8)</f>
        <v>27825</v>
      </c>
      <c r="K8" s="356">
        <f>SUM(K9:K22)</f>
        <v>27825</v>
      </c>
      <c r="L8" s="356">
        <f>SUM(L9:L22)</f>
        <v>0</v>
      </c>
      <c r="M8" s="356">
        <f>SUM(M9:M22)</f>
        <v>0</v>
      </c>
      <c r="N8" s="353">
        <f aca="true" t="shared" si="2" ref="N8:N13">SUM(O8:Q8)</f>
        <v>8416.44</v>
      </c>
      <c r="O8" s="354">
        <f>SUM(O9:O22)</f>
        <v>8416.44</v>
      </c>
      <c r="P8" s="354">
        <f>SUM(P9:P22)</f>
        <v>0</v>
      </c>
      <c r="Q8" s="354">
        <f>SUM(Q9:Q22)</f>
        <v>0</v>
      </c>
      <c r="R8" s="359">
        <f>SUM(N8/J8)</f>
        <v>0.302477628032345</v>
      </c>
    </row>
    <row r="9" spans="1:18" ht="13.5" customHeight="1">
      <c r="A9" s="570" t="s">
        <v>55</v>
      </c>
      <c r="B9" s="478">
        <v>3636</v>
      </c>
      <c r="C9" s="479" t="s">
        <v>45</v>
      </c>
      <c r="D9" s="480">
        <v>10</v>
      </c>
      <c r="E9" s="455" t="s">
        <v>99</v>
      </c>
      <c r="F9" s="481">
        <f t="shared" si="0"/>
        <v>0</v>
      </c>
      <c r="G9" s="482">
        <v>0</v>
      </c>
      <c r="H9" s="483"/>
      <c r="I9" s="483"/>
      <c r="J9" s="484">
        <f>SUM(K9:M9)</f>
        <v>2420</v>
      </c>
      <c r="K9" s="485">
        <v>2420</v>
      </c>
      <c r="L9" s="486"/>
      <c r="M9" s="487"/>
      <c r="N9" s="481">
        <f t="shared" si="2"/>
        <v>2178</v>
      </c>
      <c r="O9" s="682">
        <v>2178</v>
      </c>
      <c r="P9" s="488"/>
      <c r="Q9" s="489"/>
      <c r="R9" s="214"/>
    </row>
    <row r="10" spans="1:18" ht="13.5" customHeight="1" thickBot="1">
      <c r="A10" s="578" t="s">
        <v>55</v>
      </c>
      <c r="B10" s="490">
        <v>3636</v>
      </c>
      <c r="C10" s="491" t="s">
        <v>45</v>
      </c>
      <c r="D10" s="492">
        <v>210</v>
      </c>
      <c r="E10" s="465" t="s">
        <v>99</v>
      </c>
      <c r="F10" s="493">
        <f t="shared" si="0"/>
        <v>20000</v>
      </c>
      <c r="G10" s="494">
        <v>20000</v>
      </c>
      <c r="H10" s="495"/>
      <c r="I10" s="495"/>
      <c r="J10" s="496">
        <f>SUM(K10:M10)</f>
        <v>5000</v>
      </c>
      <c r="K10" s="497">
        <f>20000-15000</f>
        <v>5000</v>
      </c>
      <c r="L10" s="498"/>
      <c r="M10" s="499"/>
      <c r="N10" s="493">
        <f t="shared" si="2"/>
        <v>2490.5</v>
      </c>
      <c r="O10" s="683">
        <v>2490.5</v>
      </c>
      <c r="P10" s="500"/>
      <c r="Q10" s="501"/>
      <c r="R10" s="214"/>
    </row>
    <row r="11" spans="1:18" ht="13.5" customHeight="1">
      <c r="A11" s="131" t="s">
        <v>260</v>
      </c>
      <c r="B11" s="204">
        <v>3636</v>
      </c>
      <c r="C11" s="144" t="s">
        <v>45</v>
      </c>
      <c r="D11" s="327">
        <v>10</v>
      </c>
      <c r="E11" s="343" t="s">
        <v>261</v>
      </c>
      <c r="F11" s="99">
        <f t="shared" si="0"/>
        <v>0</v>
      </c>
      <c r="G11" s="138">
        <v>0</v>
      </c>
      <c r="H11" s="193"/>
      <c r="I11" s="193"/>
      <c r="J11" s="139">
        <f>SUM(K11:M11)</f>
        <v>600</v>
      </c>
      <c r="K11" s="193">
        <v>600</v>
      </c>
      <c r="L11" s="194"/>
      <c r="M11" s="240"/>
      <c r="N11" s="99">
        <f t="shared" si="2"/>
        <v>581.41</v>
      </c>
      <c r="O11" s="274">
        <v>581.41</v>
      </c>
      <c r="P11" s="190"/>
      <c r="Q11" s="298"/>
      <c r="R11" s="214"/>
    </row>
    <row r="12" spans="1:18" ht="13.5" customHeight="1">
      <c r="A12" s="131" t="s">
        <v>56</v>
      </c>
      <c r="B12" s="204">
        <v>3636</v>
      </c>
      <c r="C12" s="144" t="s">
        <v>45</v>
      </c>
      <c r="D12" s="327">
        <v>210</v>
      </c>
      <c r="E12" s="343" t="s">
        <v>219</v>
      </c>
      <c r="F12" s="99">
        <f t="shared" si="0"/>
        <v>30000</v>
      </c>
      <c r="G12" s="138">
        <v>30000</v>
      </c>
      <c r="H12" s="193"/>
      <c r="I12" s="193"/>
      <c r="J12" s="139">
        <f>SUM(K12:M12)</f>
        <v>15000</v>
      </c>
      <c r="K12" s="193">
        <f>30000-15000</f>
        <v>15000</v>
      </c>
      <c r="L12" s="194"/>
      <c r="M12" s="240"/>
      <c r="N12" s="99">
        <f t="shared" si="2"/>
        <v>249.14</v>
      </c>
      <c r="O12" s="274">
        <v>249.14</v>
      </c>
      <c r="P12" s="190"/>
      <c r="Q12" s="298"/>
      <c r="R12" s="214"/>
    </row>
    <row r="13" spans="1:18" ht="13.5" customHeight="1">
      <c r="A13" s="131" t="s">
        <v>66</v>
      </c>
      <c r="B13" s="204">
        <v>3636</v>
      </c>
      <c r="C13" s="144" t="s">
        <v>45</v>
      </c>
      <c r="D13" s="327">
        <v>210</v>
      </c>
      <c r="E13" s="343" t="s">
        <v>100</v>
      </c>
      <c r="F13" s="99">
        <f t="shared" si="0"/>
        <v>1000</v>
      </c>
      <c r="G13" s="138">
        <v>1000</v>
      </c>
      <c r="H13" s="193"/>
      <c r="I13" s="193"/>
      <c r="J13" s="139">
        <f>SUM(K13:M13)</f>
        <v>1000</v>
      </c>
      <c r="K13" s="193">
        <v>1000</v>
      </c>
      <c r="L13" s="194"/>
      <c r="M13" s="240"/>
      <c r="N13" s="99">
        <f t="shared" si="2"/>
        <v>491.26</v>
      </c>
      <c r="O13" s="274">
        <v>491.26</v>
      </c>
      <c r="P13" s="190"/>
      <c r="Q13" s="298"/>
      <c r="R13" s="214"/>
    </row>
    <row r="14" spans="1:18" ht="13.5" customHeight="1">
      <c r="A14" s="140" t="s">
        <v>72</v>
      </c>
      <c r="B14" s="203">
        <v>3636</v>
      </c>
      <c r="C14" s="127" t="s">
        <v>45</v>
      </c>
      <c r="D14" s="39">
        <v>210</v>
      </c>
      <c r="E14" s="343" t="s">
        <v>102</v>
      </c>
      <c r="F14" s="102">
        <f aca="true" t="shared" si="3" ref="F14:F21">SUM(G14:I14)</f>
        <v>500</v>
      </c>
      <c r="G14" s="130">
        <v>500</v>
      </c>
      <c r="H14" s="93"/>
      <c r="I14" s="93"/>
      <c r="J14" s="92">
        <f t="shared" si="1"/>
        <v>500</v>
      </c>
      <c r="K14" s="191">
        <v>500</v>
      </c>
      <c r="L14" s="192"/>
      <c r="M14" s="241"/>
      <c r="N14" s="102">
        <f aca="true" t="shared" si="4" ref="N14:N21">SUM(O14:Q14)</f>
        <v>153.84</v>
      </c>
      <c r="O14" s="188">
        <v>153.84</v>
      </c>
      <c r="P14" s="189"/>
      <c r="Q14" s="243"/>
      <c r="R14" s="214"/>
    </row>
    <row r="15" spans="1:18" ht="13.5" customHeight="1">
      <c r="A15" s="140" t="s">
        <v>82</v>
      </c>
      <c r="B15" s="203">
        <v>3636</v>
      </c>
      <c r="C15" s="127" t="s">
        <v>45</v>
      </c>
      <c r="D15" s="39">
        <v>210</v>
      </c>
      <c r="E15" s="343" t="s">
        <v>104</v>
      </c>
      <c r="F15" s="102">
        <f t="shared" si="3"/>
        <v>5000</v>
      </c>
      <c r="G15" s="130">
        <v>5000</v>
      </c>
      <c r="H15" s="93"/>
      <c r="I15" s="93"/>
      <c r="J15" s="92">
        <f t="shared" si="1"/>
        <v>0</v>
      </c>
      <c r="K15" s="191">
        <f>5000-5000</f>
        <v>0</v>
      </c>
      <c r="L15" s="192"/>
      <c r="M15" s="241"/>
      <c r="N15" s="102">
        <f t="shared" si="4"/>
        <v>0</v>
      </c>
      <c r="O15" s="188">
        <v>0</v>
      </c>
      <c r="P15" s="189"/>
      <c r="Q15" s="243"/>
      <c r="R15" s="214"/>
    </row>
    <row r="16" spans="1:18" ht="13.5" customHeight="1">
      <c r="A16" s="132" t="s">
        <v>83</v>
      </c>
      <c r="B16" s="222">
        <v>3636</v>
      </c>
      <c r="C16" s="182" t="s">
        <v>45</v>
      </c>
      <c r="D16" s="223">
        <v>210</v>
      </c>
      <c r="E16" s="343" t="s">
        <v>105</v>
      </c>
      <c r="F16" s="221">
        <f t="shared" si="3"/>
        <v>500</v>
      </c>
      <c r="G16" s="224">
        <v>500</v>
      </c>
      <c r="H16" s="225"/>
      <c r="I16" s="225"/>
      <c r="J16" s="226">
        <f t="shared" si="1"/>
        <v>500</v>
      </c>
      <c r="K16" s="227">
        <v>500</v>
      </c>
      <c r="L16" s="228"/>
      <c r="M16" s="242"/>
      <c r="N16" s="221">
        <f t="shared" si="4"/>
        <v>268.97</v>
      </c>
      <c r="O16" s="684">
        <v>268.97</v>
      </c>
      <c r="P16" s="229"/>
      <c r="Q16" s="244"/>
      <c r="R16" s="214"/>
    </row>
    <row r="17" spans="1:18" ht="13.5" customHeight="1">
      <c r="A17" s="141" t="s">
        <v>84</v>
      </c>
      <c r="B17" s="276">
        <v>3636</v>
      </c>
      <c r="C17" s="143" t="s">
        <v>45</v>
      </c>
      <c r="D17" s="111">
        <v>210</v>
      </c>
      <c r="E17" s="343" t="s">
        <v>106</v>
      </c>
      <c r="F17" s="137">
        <f t="shared" si="3"/>
        <v>5000</v>
      </c>
      <c r="G17" s="277">
        <v>5000</v>
      </c>
      <c r="H17" s="278"/>
      <c r="I17" s="278"/>
      <c r="J17" s="279">
        <f t="shared" si="1"/>
        <v>0</v>
      </c>
      <c r="K17" s="280">
        <f>5000-5000</f>
        <v>0</v>
      </c>
      <c r="L17" s="281"/>
      <c r="M17" s="282"/>
      <c r="N17" s="137">
        <f t="shared" si="4"/>
        <v>0</v>
      </c>
      <c r="O17" s="685">
        <v>0</v>
      </c>
      <c r="P17" s="283"/>
      <c r="Q17" s="284"/>
      <c r="R17" s="214"/>
    </row>
    <row r="18" spans="1:18" ht="13.5" customHeight="1">
      <c r="A18" s="140" t="s">
        <v>107</v>
      </c>
      <c r="B18" s="203">
        <v>3636</v>
      </c>
      <c r="C18" s="127" t="s">
        <v>45</v>
      </c>
      <c r="D18" s="39">
        <v>210</v>
      </c>
      <c r="E18" s="344" t="s">
        <v>101</v>
      </c>
      <c r="F18" s="137">
        <f t="shared" si="3"/>
        <v>1000</v>
      </c>
      <c r="G18" s="130">
        <v>1000</v>
      </c>
      <c r="H18" s="93"/>
      <c r="I18" s="93"/>
      <c r="J18" s="279">
        <f t="shared" si="1"/>
        <v>0</v>
      </c>
      <c r="K18" s="280">
        <f>1000-300-20-680</f>
        <v>0</v>
      </c>
      <c r="L18" s="280"/>
      <c r="M18" s="282"/>
      <c r="N18" s="137">
        <f t="shared" si="4"/>
        <v>0</v>
      </c>
      <c r="O18" s="685">
        <v>0</v>
      </c>
      <c r="P18" s="296"/>
      <c r="Q18" s="284"/>
      <c r="R18" s="214"/>
    </row>
    <row r="19" spans="1:18" ht="13.5" customHeight="1">
      <c r="A19" s="140" t="s">
        <v>108</v>
      </c>
      <c r="B19" s="203">
        <v>3636</v>
      </c>
      <c r="C19" s="127" t="s">
        <v>45</v>
      </c>
      <c r="D19" s="39">
        <v>210</v>
      </c>
      <c r="E19" s="343" t="s">
        <v>103</v>
      </c>
      <c r="F19" s="137">
        <f t="shared" si="3"/>
        <v>2000</v>
      </c>
      <c r="G19" s="224">
        <v>2000</v>
      </c>
      <c r="H19" s="227"/>
      <c r="I19" s="227"/>
      <c r="J19" s="279">
        <f>SUM(K19:M19)</f>
        <v>750</v>
      </c>
      <c r="K19" s="280">
        <f>2000-750-500</f>
        <v>750</v>
      </c>
      <c r="L19" s="280"/>
      <c r="M19" s="282"/>
      <c r="N19" s="137">
        <f>SUM(O19:Q19)</f>
        <v>577.32</v>
      </c>
      <c r="O19" s="685">
        <v>577.32</v>
      </c>
      <c r="P19" s="296"/>
      <c r="Q19" s="284"/>
      <c r="R19" s="214"/>
    </row>
    <row r="20" spans="1:18" ht="13.5" customHeight="1">
      <c r="A20" s="51" t="s">
        <v>251</v>
      </c>
      <c r="B20" s="203">
        <v>3636</v>
      </c>
      <c r="C20" s="145" t="s">
        <v>45</v>
      </c>
      <c r="D20" s="39">
        <v>119</v>
      </c>
      <c r="E20" s="299" t="s">
        <v>252</v>
      </c>
      <c r="F20" s="102">
        <f t="shared" si="3"/>
        <v>0</v>
      </c>
      <c r="G20" s="130">
        <v>0</v>
      </c>
      <c r="H20" s="93"/>
      <c r="I20" s="93"/>
      <c r="J20" s="92">
        <f t="shared" si="1"/>
        <v>405</v>
      </c>
      <c r="K20" s="191">
        <v>405</v>
      </c>
      <c r="L20" s="192"/>
      <c r="M20" s="241"/>
      <c r="N20" s="102">
        <f t="shared" si="4"/>
        <v>326.71</v>
      </c>
      <c r="O20" s="188">
        <v>326.71</v>
      </c>
      <c r="P20" s="189"/>
      <c r="Q20" s="243"/>
      <c r="R20" s="214"/>
    </row>
    <row r="21" spans="1:18" ht="13.5" customHeight="1">
      <c r="A21" s="37" t="s">
        <v>253</v>
      </c>
      <c r="B21" s="204">
        <v>3636</v>
      </c>
      <c r="C21" s="144" t="s">
        <v>45</v>
      </c>
      <c r="D21" s="90">
        <v>119</v>
      </c>
      <c r="E21" s="256" t="s">
        <v>254</v>
      </c>
      <c r="F21" s="221">
        <f t="shared" si="3"/>
        <v>0</v>
      </c>
      <c r="G21" s="224">
        <v>0</v>
      </c>
      <c r="H21" s="225"/>
      <c r="I21" s="225"/>
      <c r="J21" s="139">
        <f t="shared" si="1"/>
        <v>900</v>
      </c>
      <c r="K21" s="193">
        <v>900</v>
      </c>
      <c r="L21" s="193"/>
      <c r="M21" s="240"/>
      <c r="N21" s="99">
        <f t="shared" si="4"/>
        <v>391.44</v>
      </c>
      <c r="O21" s="274">
        <v>391.44</v>
      </c>
      <c r="P21" s="297"/>
      <c r="Q21" s="298"/>
      <c r="R21" s="214"/>
    </row>
    <row r="22" spans="1:18" ht="13.5" customHeight="1">
      <c r="A22" s="51" t="s">
        <v>292</v>
      </c>
      <c r="B22" s="203">
        <v>3636</v>
      </c>
      <c r="C22" s="127" t="s">
        <v>45</v>
      </c>
      <c r="D22" s="39">
        <v>210</v>
      </c>
      <c r="E22" s="337" t="s">
        <v>291</v>
      </c>
      <c r="F22" s="102">
        <f>SUM(G22:I22)</f>
        <v>0</v>
      </c>
      <c r="G22" s="130">
        <v>0</v>
      </c>
      <c r="H22" s="93"/>
      <c r="I22" s="93"/>
      <c r="J22" s="92">
        <f>SUM(K22:M22)</f>
        <v>750</v>
      </c>
      <c r="K22" s="191">
        <v>750</v>
      </c>
      <c r="L22" s="191"/>
      <c r="M22" s="241"/>
      <c r="N22" s="102">
        <f>SUM(O22:Q22)</f>
        <v>707.85</v>
      </c>
      <c r="O22" s="188">
        <v>707.85</v>
      </c>
      <c r="P22" s="295"/>
      <c r="Q22" s="243"/>
      <c r="R22" s="214"/>
    </row>
    <row r="23" spans="1:18" ht="13.5" thickBot="1">
      <c r="A23" s="345" t="s">
        <v>26</v>
      </c>
      <c r="B23" s="41"/>
      <c r="C23" s="65"/>
      <c r="D23" s="42"/>
      <c r="E23" s="43"/>
      <c r="F23" s="83"/>
      <c r="G23" s="46"/>
      <c r="H23" s="46"/>
      <c r="I23" s="46"/>
      <c r="J23" s="346"/>
      <c r="K23" s="46"/>
      <c r="L23" s="46"/>
      <c r="M23" s="46"/>
      <c r="N23" s="46"/>
      <c r="O23" s="46"/>
      <c r="P23" s="46"/>
      <c r="Q23" s="46"/>
      <c r="R23" s="347"/>
    </row>
    <row r="24" spans="1:18" ht="13.5" thickBot="1">
      <c r="A24" s="348"/>
      <c r="B24" s="349"/>
      <c r="C24" s="350"/>
      <c r="D24" s="351"/>
      <c r="E24" s="352" t="s">
        <v>27</v>
      </c>
      <c r="F24" s="353">
        <f>SUM(G24:I24)</f>
        <v>10720</v>
      </c>
      <c r="G24" s="354">
        <f>SUM(G25:G49)</f>
        <v>10120</v>
      </c>
      <c r="H24" s="354">
        <f>SUM(H25:H49)</f>
        <v>600</v>
      </c>
      <c r="I24" s="354">
        <f>SUM(I25:I49)</f>
        <v>0</v>
      </c>
      <c r="J24" s="355">
        <f aca="true" t="shared" si="5" ref="J24:J49">SUM(K24:M24)</f>
        <v>15515.099999999999</v>
      </c>
      <c r="K24" s="356">
        <f>SUM(K25:K49)</f>
        <v>13814.099999999999</v>
      </c>
      <c r="L24" s="356">
        <f>SUM(L25:L49)</f>
        <v>1701</v>
      </c>
      <c r="M24" s="356">
        <f>SUM(M25:M49)</f>
        <v>0</v>
      </c>
      <c r="N24" s="353">
        <f aca="true" t="shared" si="6" ref="N24:N45">SUM(O24:Q24)</f>
        <v>5310.08</v>
      </c>
      <c r="O24" s="357">
        <f>SUM(O25:O49)</f>
        <v>3954.5</v>
      </c>
      <c r="P24" s="356">
        <f>SUM(P25:P49)</f>
        <v>1355.5800000000002</v>
      </c>
      <c r="Q24" s="358">
        <f>SUM(Q25:Q49)</f>
        <v>0</v>
      </c>
      <c r="R24" s="359">
        <f>SUM(N24/J24)</f>
        <v>0.3422523863848767</v>
      </c>
    </row>
    <row r="25" spans="1:18" ht="12.75">
      <c r="A25" s="131" t="s">
        <v>85</v>
      </c>
      <c r="B25" s="290">
        <v>3745</v>
      </c>
      <c r="C25" s="144" t="s">
        <v>31</v>
      </c>
      <c r="D25" s="90">
        <v>119</v>
      </c>
      <c r="E25" s="337" t="s">
        <v>110</v>
      </c>
      <c r="F25" s="101">
        <f>SUM(G25:I25)</f>
        <v>1500</v>
      </c>
      <c r="G25" s="268">
        <v>1500</v>
      </c>
      <c r="H25" s="94"/>
      <c r="I25" s="87"/>
      <c r="J25" s="81">
        <f t="shared" si="5"/>
        <v>1500</v>
      </c>
      <c r="K25" s="173">
        <v>1500</v>
      </c>
      <c r="L25" s="155"/>
      <c r="M25" s="195"/>
      <c r="N25" s="101">
        <f t="shared" si="6"/>
        <v>1484.87</v>
      </c>
      <c r="O25" s="154">
        <v>1484.87</v>
      </c>
      <c r="P25" s="155"/>
      <c r="Q25" s="195"/>
      <c r="R25" s="214"/>
    </row>
    <row r="26" spans="1:18" ht="13.5" thickBot="1">
      <c r="A26" s="141" t="s">
        <v>94</v>
      </c>
      <c r="B26" s="289">
        <v>3745</v>
      </c>
      <c r="C26" s="143" t="s">
        <v>31</v>
      </c>
      <c r="D26" s="111">
        <v>119</v>
      </c>
      <c r="E26" s="653" t="s">
        <v>117</v>
      </c>
      <c r="F26" s="113">
        <f>SUM(G26:I26)</f>
        <v>500</v>
      </c>
      <c r="G26" s="114">
        <v>500</v>
      </c>
      <c r="H26" s="115"/>
      <c r="I26" s="116"/>
      <c r="J26" s="654">
        <f t="shared" si="5"/>
        <v>500</v>
      </c>
      <c r="K26" s="174">
        <v>500</v>
      </c>
      <c r="L26" s="157"/>
      <c r="M26" s="441"/>
      <c r="N26" s="113">
        <f t="shared" si="6"/>
        <v>89.54</v>
      </c>
      <c r="O26" s="156">
        <v>89.54</v>
      </c>
      <c r="P26" s="157"/>
      <c r="Q26" s="441"/>
      <c r="R26" s="214"/>
    </row>
    <row r="27" spans="1:18" ht="12.75">
      <c r="A27" s="570" t="s">
        <v>268</v>
      </c>
      <c r="B27" s="534">
        <v>3745</v>
      </c>
      <c r="C27" s="479" t="s">
        <v>31</v>
      </c>
      <c r="D27" s="480">
        <v>84</v>
      </c>
      <c r="E27" s="656" t="s">
        <v>239</v>
      </c>
      <c r="F27" s="605">
        <f>SUM(G27:I27)</f>
        <v>0</v>
      </c>
      <c r="G27" s="519">
        <v>0</v>
      </c>
      <c r="H27" s="606"/>
      <c r="I27" s="459"/>
      <c r="J27" s="607">
        <f>SUM(K27:M27)</f>
        <v>3200</v>
      </c>
      <c r="K27" s="608">
        <v>3200</v>
      </c>
      <c r="L27" s="458"/>
      <c r="M27" s="565"/>
      <c r="N27" s="605">
        <f>SUM(O27:Q27)</f>
        <v>0</v>
      </c>
      <c r="O27" s="457">
        <v>0</v>
      </c>
      <c r="P27" s="458"/>
      <c r="Q27" s="565"/>
      <c r="R27" s="214"/>
    </row>
    <row r="28" spans="1:18" ht="13.5" thickBot="1">
      <c r="A28" s="569" t="s">
        <v>238</v>
      </c>
      <c r="B28" s="540">
        <v>3745</v>
      </c>
      <c r="C28" s="597" t="s">
        <v>31</v>
      </c>
      <c r="D28" s="598">
        <v>90</v>
      </c>
      <c r="E28" s="657" t="s">
        <v>239</v>
      </c>
      <c r="F28" s="599">
        <f aca="true" t="shared" si="7" ref="F28:F35">SUM(G28:I28)</f>
        <v>0</v>
      </c>
      <c r="G28" s="600">
        <v>0</v>
      </c>
      <c r="H28" s="601"/>
      <c r="I28" s="546"/>
      <c r="J28" s="602">
        <f>SUM(K28:M28)</f>
        <v>3191</v>
      </c>
      <c r="K28" s="603">
        <v>3191</v>
      </c>
      <c r="L28" s="548"/>
      <c r="M28" s="604"/>
      <c r="N28" s="599">
        <f t="shared" si="6"/>
        <v>165.53</v>
      </c>
      <c r="O28" s="552">
        <v>165.53</v>
      </c>
      <c r="P28" s="548"/>
      <c r="Q28" s="604"/>
      <c r="R28" s="214"/>
    </row>
    <row r="29" spans="1:18" ht="12.75">
      <c r="A29" s="131" t="s">
        <v>240</v>
      </c>
      <c r="B29" s="290">
        <v>3745</v>
      </c>
      <c r="C29" s="144" t="s">
        <v>31</v>
      </c>
      <c r="D29" s="90">
        <v>90</v>
      </c>
      <c r="E29" s="655" t="s">
        <v>241</v>
      </c>
      <c r="F29" s="101">
        <f t="shared" si="7"/>
        <v>0</v>
      </c>
      <c r="G29" s="103">
        <v>0</v>
      </c>
      <c r="H29" s="94"/>
      <c r="I29" s="87"/>
      <c r="J29" s="81">
        <f>SUM(K29:M29)</f>
        <v>695.8</v>
      </c>
      <c r="K29" s="173">
        <v>695.8</v>
      </c>
      <c r="L29" s="155"/>
      <c r="M29" s="195"/>
      <c r="N29" s="101">
        <f t="shared" si="6"/>
        <v>0</v>
      </c>
      <c r="O29" s="154">
        <v>0</v>
      </c>
      <c r="P29" s="155"/>
      <c r="Q29" s="195"/>
      <c r="R29" s="214"/>
    </row>
    <row r="30" spans="1:18" ht="13.5" thickBot="1">
      <c r="A30" s="569" t="s">
        <v>74</v>
      </c>
      <c r="B30" s="540">
        <v>3745</v>
      </c>
      <c r="C30" s="597" t="s">
        <v>31</v>
      </c>
      <c r="D30" s="598">
        <v>210</v>
      </c>
      <c r="E30" s="522" t="s">
        <v>111</v>
      </c>
      <c r="F30" s="599">
        <f t="shared" si="7"/>
        <v>1000</v>
      </c>
      <c r="G30" s="600">
        <v>1000</v>
      </c>
      <c r="H30" s="601"/>
      <c r="I30" s="546"/>
      <c r="J30" s="602">
        <f t="shared" si="5"/>
        <v>1000</v>
      </c>
      <c r="K30" s="603">
        <v>1000</v>
      </c>
      <c r="L30" s="548"/>
      <c r="M30" s="604"/>
      <c r="N30" s="599">
        <f t="shared" si="6"/>
        <v>94.38</v>
      </c>
      <c r="O30" s="552">
        <v>94.38</v>
      </c>
      <c r="P30" s="548"/>
      <c r="Q30" s="604"/>
      <c r="R30" s="214"/>
    </row>
    <row r="31" spans="1:18" ht="12.75">
      <c r="A31" s="570" t="s">
        <v>206</v>
      </c>
      <c r="B31" s="534">
        <v>3745</v>
      </c>
      <c r="C31" s="479" t="s">
        <v>31</v>
      </c>
      <c r="D31" s="480">
        <v>119</v>
      </c>
      <c r="E31" s="512" t="s">
        <v>207</v>
      </c>
      <c r="F31" s="605">
        <f t="shared" si="7"/>
        <v>0</v>
      </c>
      <c r="G31" s="519">
        <v>0</v>
      </c>
      <c r="H31" s="606"/>
      <c r="I31" s="459"/>
      <c r="J31" s="607">
        <f>SUM(K31:M31)</f>
        <v>300</v>
      </c>
      <c r="K31" s="608">
        <v>300</v>
      </c>
      <c r="L31" s="458"/>
      <c r="M31" s="565"/>
      <c r="N31" s="605">
        <f t="shared" si="6"/>
        <v>220</v>
      </c>
      <c r="O31" s="457">
        <v>220</v>
      </c>
      <c r="P31" s="458"/>
      <c r="Q31" s="565"/>
      <c r="R31" s="214"/>
    </row>
    <row r="32" spans="1:18" ht="13.5" thickBot="1">
      <c r="A32" s="578" t="s">
        <v>206</v>
      </c>
      <c r="B32" s="609">
        <v>3745</v>
      </c>
      <c r="C32" s="491" t="s">
        <v>31</v>
      </c>
      <c r="D32" s="492">
        <v>90</v>
      </c>
      <c r="E32" s="522" t="s">
        <v>207</v>
      </c>
      <c r="F32" s="599">
        <f t="shared" si="7"/>
        <v>0</v>
      </c>
      <c r="G32" s="600">
        <v>0</v>
      </c>
      <c r="H32" s="601"/>
      <c r="I32" s="546"/>
      <c r="J32" s="602">
        <f>SUM(K32:M32)</f>
        <v>748.4</v>
      </c>
      <c r="K32" s="603">
        <v>748.4</v>
      </c>
      <c r="L32" s="548"/>
      <c r="M32" s="604"/>
      <c r="N32" s="599">
        <f t="shared" si="6"/>
        <v>748.36</v>
      </c>
      <c r="O32" s="552">
        <v>748.36</v>
      </c>
      <c r="P32" s="548"/>
      <c r="Q32" s="604"/>
      <c r="R32" s="214"/>
    </row>
    <row r="33" spans="1:18" ht="12.75">
      <c r="A33" s="131" t="s">
        <v>293</v>
      </c>
      <c r="B33" s="290">
        <v>3745</v>
      </c>
      <c r="C33" s="144" t="s">
        <v>31</v>
      </c>
      <c r="D33" s="90">
        <v>210</v>
      </c>
      <c r="E33" s="337" t="s">
        <v>294</v>
      </c>
      <c r="F33" s="101">
        <f t="shared" si="7"/>
        <v>0</v>
      </c>
      <c r="G33" s="103">
        <v>0</v>
      </c>
      <c r="H33" s="94"/>
      <c r="I33" s="87"/>
      <c r="J33" s="328">
        <f>SUM(K33:M33)</f>
        <v>100</v>
      </c>
      <c r="K33" s="173">
        <v>100</v>
      </c>
      <c r="L33" s="155"/>
      <c r="M33" s="195"/>
      <c r="N33" s="101">
        <f>SUM(O33:Q33)</f>
        <v>98.01</v>
      </c>
      <c r="O33" s="154">
        <v>98.01</v>
      </c>
      <c r="P33" s="155"/>
      <c r="Q33" s="195"/>
      <c r="R33" s="214"/>
    </row>
    <row r="34" spans="1:18" ht="12.75">
      <c r="A34" s="131" t="s">
        <v>242</v>
      </c>
      <c r="B34" s="290">
        <v>3745</v>
      </c>
      <c r="C34" s="144" t="s">
        <v>31</v>
      </c>
      <c r="D34" s="90">
        <v>90</v>
      </c>
      <c r="E34" s="337" t="s">
        <v>243</v>
      </c>
      <c r="F34" s="101">
        <f t="shared" si="7"/>
        <v>0</v>
      </c>
      <c r="G34" s="268">
        <v>0</v>
      </c>
      <c r="H34" s="94"/>
      <c r="I34" s="87"/>
      <c r="J34" s="81">
        <f>SUM(K34:M34)</f>
        <v>466.1</v>
      </c>
      <c r="K34" s="173">
        <v>466.1</v>
      </c>
      <c r="L34" s="155"/>
      <c r="M34" s="195"/>
      <c r="N34" s="101">
        <f t="shared" si="6"/>
        <v>155.63</v>
      </c>
      <c r="O34" s="154">
        <v>155.63</v>
      </c>
      <c r="P34" s="155"/>
      <c r="Q34" s="195"/>
      <c r="R34" s="214"/>
    </row>
    <row r="35" spans="1:18" ht="12.75">
      <c r="A35" s="131" t="s">
        <v>244</v>
      </c>
      <c r="B35" s="290">
        <v>3745</v>
      </c>
      <c r="C35" s="144" t="s">
        <v>31</v>
      </c>
      <c r="D35" s="90">
        <v>90</v>
      </c>
      <c r="E35" s="337" t="s">
        <v>245</v>
      </c>
      <c r="F35" s="101">
        <f t="shared" si="7"/>
        <v>0</v>
      </c>
      <c r="G35" s="103">
        <v>0</v>
      </c>
      <c r="H35" s="94"/>
      <c r="I35" s="87"/>
      <c r="J35" s="81">
        <f>SUM(K35:M35)</f>
        <v>89.3</v>
      </c>
      <c r="K35" s="173">
        <v>89.3</v>
      </c>
      <c r="L35" s="155"/>
      <c r="M35" s="195"/>
      <c r="N35" s="101">
        <f t="shared" si="6"/>
        <v>0</v>
      </c>
      <c r="O35" s="154">
        <v>0</v>
      </c>
      <c r="P35" s="155"/>
      <c r="Q35" s="195"/>
      <c r="R35" s="214"/>
    </row>
    <row r="36" spans="1:18" ht="12.75">
      <c r="A36" s="131" t="s">
        <v>119</v>
      </c>
      <c r="B36" s="290">
        <v>3745</v>
      </c>
      <c r="C36" s="144" t="s">
        <v>31</v>
      </c>
      <c r="D36" s="90">
        <v>210</v>
      </c>
      <c r="E36" s="337" t="s">
        <v>109</v>
      </c>
      <c r="F36" s="101">
        <f aca="true" t="shared" si="8" ref="F36:F49">SUM(G36:I36)</f>
        <v>100</v>
      </c>
      <c r="G36" s="103">
        <v>100</v>
      </c>
      <c r="H36" s="94"/>
      <c r="I36" s="87"/>
      <c r="J36" s="328">
        <f t="shared" si="5"/>
        <v>100</v>
      </c>
      <c r="K36" s="173">
        <v>100</v>
      </c>
      <c r="L36" s="155"/>
      <c r="M36" s="195"/>
      <c r="N36" s="101">
        <f t="shared" si="6"/>
        <v>0</v>
      </c>
      <c r="O36" s="154">
        <v>0</v>
      </c>
      <c r="P36" s="155"/>
      <c r="Q36" s="195"/>
      <c r="R36" s="214"/>
    </row>
    <row r="37" spans="1:18" ht="12.75">
      <c r="A37" s="140" t="s">
        <v>120</v>
      </c>
      <c r="B37" s="288">
        <v>3745</v>
      </c>
      <c r="C37" s="127" t="s">
        <v>31</v>
      </c>
      <c r="D37" s="39">
        <v>210</v>
      </c>
      <c r="E37" s="246" t="s">
        <v>112</v>
      </c>
      <c r="F37" s="100">
        <f t="shared" si="8"/>
        <v>1000</v>
      </c>
      <c r="G37" s="74">
        <v>1000</v>
      </c>
      <c r="H37" s="52"/>
      <c r="I37" s="84"/>
      <c r="J37" s="117">
        <f t="shared" si="5"/>
        <v>1000</v>
      </c>
      <c r="K37" s="172">
        <v>1000</v>
      </c>
      <c r="L37" s="153"/>
      <c r="M37" s="153"/>
      <c r="N37" s="100">
        <f t="shared" si="6"/>
        <v>597.68</v>
      </c>
      <c r="O37" s="152">
        <v>597.68</v>
      </c>
      <c r="P37" s="153"/>
      <c r="Q37" s="202"/>
      <c r="R37" s="214"/>
    </row>
    <row r="38" spans="1:18" ht="12.75">
      <c r="A38" s="140" t="s">
        <v>121</v>
      </c>
      <c r="B38" s="288">
        <v>3745</v>
      </c>
      <c r="C38" s="127" t="s">
        <v>31</v>
      </c>
      <c r="D38" s="39">
        <v>210</v>
      </c>
      <c r="E38" s="246" t="s">
        <v>113</v>
      </c>
      <c r="F38" s="100">
        <f t="shared" si="8"/>
        <v>2000</v>
      </c>
      <c r="G38" s="74">
        <v>2000</v>
      </c>
      <c r="H38" s="52"/>
      <c r="I38" s="84"/>
      <c r="J38" s="117">
        <f t="shared" si="5"/>
        <v>0</v>
      </c>
      <c r="K38" s="172">
        <f>2000-2000</f>
        <v>0</v>
      </c>
      <c r="L38" s="153"/>
      <c r="M38" s="153"/>
      <c r="N38" s="100">
        <f t="shared" si="6"/>
        <v>0</v>
      </c>
      <c r="O38" s="152">
        <v>0</v>
      </c>
      <c r="P38" s="153"/>
      <c r="Q38" s="202"/>
      <c r="R38" s="214"/>
    </row>
    <row r="39" spans="1:18" ht="12.75">
      <c r="A39" s="140" t="s">
        <v>122</v>
      </c>
      <c r="B39" s="288">
        <v>3745</v>
      </c>
      <c r="C39" s="127" t="s">
        <v>31</v>
      </c>
      <c r="D39" s="39">
        <v>210</v>
      </c>
      <c r="E39" s="246" t="s">
        <v>114</v>
      </c>
      <c r="F39" s="100">
        <f t="shared" si="8"/>
        <v>900</v>
      </c>
      <c r="G39" s="74">
        <v>900</v>
      </c>
      <c r="H39" s="52">
        <v>0</v>
      </c>
      <c r="I39" s="84"/>
      <c r="J39" s="117">
        <f>SUM(K39:M39)</f>
        <v>250</v>
      </c>
      <c r="K39" s="172">
        <f>900-650-250</f>
        <v>0</v>
      </c>
      <c r="L39" s="153">
        <v>250</v>
      </c>
      <c r="M39" s="153"/>
      <c r="N39" s="100">
        <f t="shared" si="6"/>
        <v>189.68</v>
      </c>
      <c r="O39" s="152">
        <v>0</v>
      </c>
      <c r="P39" s="153">
        <v>189.68</v>
      </c>
      <c r="Q39" s="202"/>
      <c r="R39" s="214"/>
    </row>
    <row r="40" spans="1:18" ht="12.75">
      <c r="A40" s="140" t="s">
        <v>123</v>
      </c>
      <c r="B40" s="288">
        <v>3745</v>
      </c>
      <c r="C40" s="127" t="s">
        <v>31</v>
      </c>
      <c r="D40" s="39">
        <v>210</v>
      </c>
      <c r="E40" s="246" t="s">
        <v>115</v>
      </c>
      <c r="F40" s="100">
        <f t="shared" si="8"/>
        <v>1820</v>
      </c>
      <c r="G40" s="74">
        <v>1820</v>
      </c>
      <c r="H40" s="172"/>
      <c r="I40" s="84"/>
      <c r="J40" s="117">
        <f t="shared" si="5"/>
        <v>20</v>
      </c>
      <c r="K40" s="172">
        <f>1820-1800</f>
        <v>20</v>
      </c>
      <c r="L40" s="153"/>
      <c r="M40" s="153"/>
      <c r="N40" s="100">
        <f t="shared" si="6"/>
        <v>5.5</v>
      </c>
      <c r="O40" s="152">
        <v>5.5</v>
      </c>
      <c r="P40" s="153"/>
      <c r="Q40" s="202"/>
      <c r="R40" s="214"/>
    </row>
    <row r="41" spans="1:18" ht="12.75">
      <c r="A41" s="140" t="s">
        <v>124</v>
      </c>
      <c r="B41" s="288">
        <v>3745</v>
      </c>
      <c r="C41" s="127" t="s">
        <v>31</v>
      </c>
      <c r="D41" s="39">
        <v>210</v>
      </c>
      <c r="E41" s="246" t="s">
        <v>116</v>
      </c>
      <c r="F41" s="100">
        <f t="shared" si="8"/>
        <v>300</v>
      </c>
      <c r="G41" s="171">
        <v>300</v>
      </c>
      <c r="H41" s="172"/>
      <c r="I41" s="84"/>
      <c r="J41" s="117">
        <f>SUM(K41:M41)</f>
        <v>300</v>
      </c>
      <c r="K41" s="172">
        <v>300</v>
      </c>
      <c r="L41" s="153"/>
      <c r="M41" s="202"/>
      <c r="N41" s="100">
        <f t="shared" si="6"/>
        <v>0</v>
      </c>
      <c r="O41" s="152">
        <v>0</v>
      </c>
      <c r="P41" s="153"/>
      <c r="Q41" s="202"/>
      <c r="R41" s="214"/>
    </row>
    <row r="42" spans="1:18" ht="12.75">
      <c r="A42" s="140" t="s">
        <v>125</v>
      </c>
      <c r="B42" s="288">
        <v>3745</v>
      </c>
      <c r="C42" s="127" t="s">
        <v>31</v>
      </c>
      <c r="D42" s="39">
        <v>210</v>
      </c>
      <c r="E42" s="247" t="s">
        <v>118</v>
      </c>
      <c r="F42" s="100">
        <f t="shared" si="8"/>
        <v>1000</v>
      </c>
      <c r="G42" s="171">
        <v>1000</v>
      </c>
      <c r="H42" s="172"/>
      <c r="I42" s="84"/>
      <c r="J42" s="117">
        <f t="shared" si="5"/>
        <v>0</v>
      </c>
      <c r="K42" s="172">
        <f>1000-1000</f>
        <v>0</v>
      </c>
      <c r="L42" s="153"/>
      <c r="M42" s="202"/>
      <c r="N42" s="100">
        <f t="shared" si="6"/>
        <v>0</v>
      </c>
      <c r="O42" s="152">
        <v>0</v>
      </c>
      <c r="P42" s="153"/>
      <c r="Q42" s="202"/>
      <c r="R42" s="214"/>
    </row>
    <row r="43" spans="1:18" ht="12.75">
      <c r="A43" s="140" t="s">
        <v>126</v>
      </c>
      <c r="B43" s="288">
        <v>3745</v>
      </c>
      <c r="C43" s="127" t="s">
        <v>31</v>
      </c>
      <c r="D43" s="39">
        <v>210</v>
      </c>
      <c r="E43" s="247" t="s">
        <v>73</v>
      </c>
      <c r="F43" s="100">
        <f t="shared" si="8"/>
        <v>600</v>
      </c>
      <c r="G43" s="171"/>
      <c r="H43" s="172">
        <v>600</v>
      </c>
      <c r="I43" s="84"/>
      <c r="J43" s="117">
        <f t="shared" si="5"/>
        <v>467.7</v>
      </c>
      <c r="K43" s="172"/>
      <c r="L43" s="153">
        <f>600-132.3</f>
        <v>467.7</v>
      </c>
      <c r="M43" s="202"/>
      <c r="N43" s="100">
        <f t="shared" si="6"/>
        <v>448.06</v>
      </c>
      <c r="O43" s="152"/>
      <c r="P43" s="153">
        <v>448.06</v>
      </c>
      <c r="Q43" s="202"/>
      <c r="R43" s="214"/>
    </row>
    <row r="44" spans="1:18" ht="12.75">
      <c r="A44" s="434">
        <v>22622</v>
      </c>
      <c r="B44" s="288">
        <v>3745</v>
      </c>
      <c r="C44" s="127" t="s">
        <v>31</v>
      </c>
      <c r="D44" s="39">
        <v>119</v>
      </c>
      <c r="E44" s="247" t="s">
        <v>196</v>
      </c>
      <c r="F44" s="100">
        <f t="shared" si="8"/>
        <v>0</v>
      </c>
      <c r="G44" s="171">
        <v>0</v>
      </c>
      <c r="H44" s="172"/>
      <c r="I44" s="84"/>
      <c r="J44" s="117">
        <f>SUM(K44:M44)</f>
        <v>298.5</v>
      </c>
      <c r="K44" s="172">
        <f>1000-701.5</f>
        <v>298.5</v>
      </c>
      <c r="L44" s="153"/>
      <c r="M44" s="202"/>
      <c r="N44" s="100">
        <f t="shared" si="6"/>
        <v>0</v>
      </c>
      <c r="O44" s="152">
        <v>0</v>
      </c>
      <c r="P44" s="153"/>
      <c r="Q44" s="202"/>
      <c r="R44" s="214"/>
    </row>
    <row r="45" spans="1:18" ht="13.5" thickBot="1">
      <c r="A45" s="434">
        <v>22628</v>
      </c>
      <c r="B45" s="289">
        <v>3745</v>
      </c>
      <c r="C45" s="143" t="s">
        <v>31</v>
      </c>
      <c r="D45" s="111">
        <v>119</v>
      </c>
      <c r="E45" s="247" t="s">
        <v>197</v>
      </c>
      <c r="F45" s="113">
        <f t="shared" si="8"/>
        <v>0</v>
      </c>
      <c r="G45" s="658"/>
      <c r="H45" s="174">
        <v>0</v>
      </c>
      <c r="I45" s="116"/>
      <c r="J45" s="654">
        <f>SUM(K45:M45)</f>
        <v>250</v>
      </c>
      <c r="K45" s="174"/>
      <c r="L45" s="157">
        <v>250</v>
      </c>
      <c r="M45" s="441"/>
      <c r="N45" s="113">
        <f t="shared" si="6"/>
        <v>165.39</v>
      </c>
      <c r="O45" s="156"/>
      <c r="P45" s="157">
        <v>165.39</v>
      </c>
      <c r="Q45" s="441"/>
      <c r="R45" s="214"/>
    </row>
    <row r="46" spans="1:18" ht="12.75">
      <c r="A46" s="687">
        <v>22629</v>
      </c>
      <c r="B46" s="534">
        <v>3745</v>
      </c>
      <c r="C46" s="479" t="s">
        <v>31</v>
      </c>
      <c r="D46" s="480">
        <v>119</v>
      </c>
      <c r="E46" s="660" t="s">
        <v>198</v>
      </c>
      <c r="F46" s="605">
        <f t="shared" si="8"/>
        <v>0</v>
      </c>
      <c r="G46" s="519"/>
      <c r="H46" s="606">
        <v>0</v>
      </c>
      <c r="I46" s="459"/>
      <c r="J46" s="607">
        <f t="shared" si="5"/>
        <v>250</v>
      </c>
      <c r="K46" s="608"/>
      <c r="L46" s="458">
        <v>250</v>
      </c>
      <c r="M46" s="458"/>
      <c r="N46" s="605">
        <f>SUM(O46:Q46)</f>
        <v>250</v>
      </c>
      <c r="O46" s="457"/>
      <c r="P46" s="458">
        <v>250</v>
      </c>
      <c r="Q46" s="565"/>
      <c r="R46" s="214"/>
    </row>
    <row r="47" spans="1:18" ht="13.5" thickBot="1">
      <c r="A47" s="688">
        <v>22629</v>
      </c>
      <c r="B47" s="540">
        <v>3745</v>
      </c>
      <c r="C47" s="597" t="s">
        <v>31</v>
      </c>
      <c r="D47" s="598">
        <v>210</v>
      </c>
      <c r="E47" s="522" t="s">
        <v>198</v>
      </c>
      <c r="F47" s="599">
        <f t="shared" si="8"/>
        <v>0</v>
      </c>
      <c r="G47" s="600"/>
      <c r="H47" s="601">
        <v>0</v>
      </c>
      <c r="I47" s="546"/>
      <c r="J47" s="602">
        <f>SUM(K47:M47)</f>
        <v>132.3</v>
      </c>
      <c r="K47" s="603"/>
      <c r="L47" s="548">
        <v>132.3</v>
      </c>
      <c r="M47" s="548"/>
      <c r="N47" s="599">
        <f>SUM(O47:Q47)</f>
        <v>132.29</v>
      </c>
      <c r="O47" s="552"/>
      <c r="P47" s="548">
        <v>132.29</v>
      </c>
      <c r="Q47" s="604"/>
      <c r="R47" s="214"/>
    </row>
    <row r="48" spans="1:18" ht="12.75" customHeight="1">
      <c r="A48" s="131" t="s">
        <v>258</v>
      </c>
      <c r="B48" s="38">
        <v>3745</v>
      </c>
      <c r="C48" s="206" t="s">
        <v>31</v>
      </c>
      <c r="D48" s="90">
        <v>119</v>
      </c>
      <c r="E48" s="659" t="s">
        <v>257</v>
      </c>
      <c r="F48" s="101">
        <f t="shared" si="8"/>
        <v>0</v>
      </c>
      <c r="G48" s="268">
        <v>0</v>
      </c>
      <c r="H48" s="94"/>
      <c r="I48" s="87"/>
      <c r="J48" s="81">
        <f t="shared" si="5"/>
        <v>305</v>
      </c>
      <c r="K48" s="173">
        <f>250+55</f>
        <v>305</v>
      </c>
      <c r="L48" s="155"/>
      <c r="M48" s="155"/>
      <c r="N48" s="101">
        <f>SUM(O48:Q48)</f>
        <v>295</v>
      </c>
      <c r="O48" s="154">
        <v>295</v>
      </c>
      <c r="P48" s="155"/>
      <c r="Q48" s="195"/>
      <c r="R48" s="214"/>
    </row>
    <row r="49" spans="1:18" ht="12.75">
      <c r="A49" s="140" t="s">
        <v>286</v>
      </c>
      <c r="B49" s="288">
        <v>3745</v>
      </c>
      <c r="C49" s="147" t="s">
        <v>31</v>
      </c>
      <c r="D49" s="39">
        <v>119</v>
      </c>
      <c r="E49" s="247" t="s">
        <v>285</v>
      </c>
      <c r="F49" s="100">
        <f t="shared" si="8"/>
        <v>0</v>
      </c>
      <c r="G49" s="171">
        <v>0</v>
      </c>
      <c r="H49" s="52"/>
      <c r="I49" s="84"/>
      <c r="J49" s="117">
        <f t="shared" si="5"/>
        <v>351</v>
      </c>
      <c r="K49" s="172"/>
      <c r="L49" s="153">
        <f>405-54</f>
        <v>351</v>
      </c>
      <c r="M49" s="153"/>
      <c r="N49" s="100">
        <f>SUM(O49:Q49)</f>
        <v>170.16</v>
      </c>
      <c r="O49" s="152"/>
      <c r="P49" s="153">
        <v>170.16</v>
      </c>
      <c r="Q49" s="202"/>
      <c r="R49" s="214"/>
    </row>
    <row r="50" spans="1:18" ht="13.5" thickBot="1">
      <c r="A50" s="374" t="s">
        <v>25</v>
      </c>
      <c r="B50" s="375"/>
      <c r="C50" s="66"/>
      <c r="D50" s="42"/>
      <c r="E50" s="45"/>
      <c r="F50" s="85"/>
      <c r="G50" s="46"/>
      <c r="H50" s="376"/>
      <c r="I50" s="46"/>
      <c r="J50" s="46"/>
      <c r="K50" s="46"/>
      <c r="L50" s="46"/>
      <c r="M50" s="46"/>
      <c r="N50" s="46"/>
      <c r="O50" s="46"/>
      <c r="P50" s="46"/>
      <c r="Q50" s="46"/>
      <c r="R50" s="347"/>
    </row>
    <row r="51" spans="1:18" ht="13.5" thickBot="1">
      <c r="A51" s="348"/>
      <c r="B51" s="349"/>
      <c r="C51" s="350"/>
      <c r="D51" s="351"/>
      <c r="E51" s="352" t="s">
        <v>0</v>
      </c>
      <c r="F51" s="353">
        <f aca="true" t="shared" si="9" ref="F51:F58">SUM(G51:I51)</f>
        <v>1950</v>
      </c>
      <c r="G51" s="357">
        <f>SUM(G52:G58)</f>
        <v>1800</v>
      </c>
      <c r="H51" s="356">
        <f>SUM(H52:H58)</f>
        <v>150</v>
      </c>
      <c r="I51" s="356">
        <f>SUM(I54:I58)</f>
        <v>0</v>
      </c>
      <c r="J51" s="355">
        <f aca="true" t="shared" si="10" ref="J51:J58">SUM(K51:M51)</f>
        <v>4347.8</v>
      </c>
      <c r="K51" s="356">
        <f>SUM(K52:K58)</f>
        <v>4197.8</v>
      </c>
      <c r="L51" s="356">
        <f>SUM(L52:L58)</f>
        <v>150</v>
      </c>
      <c r="M51" s="356">
        <f>SUM(M52:M58)</f>
        <v>0</v>
      </c>
      <c r="N51" s="353">
        <f aca="true" t="shared" si="11" ref="N51:N58">SUM(O51:Q51)</f>
        <v>4326.419999999999</v>
      </c>
      <c r="O51" s="357">
        <f>SUM(O52:O58)</f>
        <v>4185.129999999999</v>
      </c>
      <c r="P51" s="356">
        <f>SUM(P52:P58)</f>
        <v>141.29</v>
      </c>
      <c r="Q51" s="358">
        <f>SUM(Q52:Q58)</f>
        <v>0</v>
      </c>
      <c r="R51" s="359">
        <f>SUM(N51/J51)</f>
        <v>0.9950825704954227</v>
      </c>
    </row>
    <row r="52" spans="1:18" ht="12.75">
      <c r="A52" s="689" t="s">
        <v>57</v>
      </c>
      <c r="B52" s="534">
        <v>2212</v>
      </c>
      <c r="C52" s="614" t="s">
        <v>47</v>
      </c>
      <c r="D52" s="480"/>
      <c r="E52" s="737" t="s">
        <v>54</v>
      </c>
      <c r="F52" s="605">
        <f t="shared" si="9"/>
        <v>0</v>
      </c>
      <c r="G52" s="519">
        <v>0</v>
      </c>
      <c r="H52" s="606"/>
      <c r="I52" s="459"/>
      <c r="J52" s="607">
        <f t="shared" si="10"/>
        <v>319.2</v>
      </c>
      <c r="K52" s="608">
        <f>304+15.2</f>
        <v>319.2</v>
      </c>
      <c r="L52" s="458"/>
      <c r="M52" s="458"/>
      <c r="N52" s="605">
        <f t="shared" si="11"/>
        <v>319.2</v>
      </c>
      <c r="O52" s="457">
        <v>319.2</v>
      </c>
      <c r="P52" s="458"/>
      <c r="Q52" s="565"/>
      <c r="R52" s="214"/>
    </row>
    <row r="53" spans="1:18" ht="13.5" thickBot="1">
      <c r="A53" s="690" t="s">
        <v>57</v>
      </c>
      <c r="B53" s="609">
        <v>2212</v>
      </c>
      <c r="C53" s="710" t="s">
        <v>47</v>
      </c>
      <c r="D53" s="492">
        <v>210</v>
      </c>
      <c r="E53" s="738" t="s">
        <v>54</v>
      </c>
      <c r="F53" s="616">
        <f t="shared" si="9"/>
        <v>1800</v>
      </c>
      <c r="G53" s="529">
        <v>1800</v>
      </c>
      <c r="H53" s="711"/>
      <c r="I53" s="472"/>
      <c r="J53" s="615">
        <f t="shared" si="10"/>
        <v>1800</v>
      </c>
      <c r="K53" s="712">
        <v>1800</v>
      </c>
      <c r="L53" s="471"/>
      <c r="M53" s="471"/>
      <c r="N53" s="616">
        <f t="shared" si="11"/>
        <v>1799.92</v>
      </c>
      <c r="O53" s="470">
        <v>1799.92</v>
      </c>
      <c r="P53" s="471"/>
      <c r="Q53" s="567"/>
      <c r="R53" s="214"/>
    </row>
    <row r="54" spans="1:18" ht="12.75">
      <c r="A54" s="37" t="s">
        <v>71</v>
      </c>
      <c r="B54" s="38">
        <v>2212</v>
      </c>
      <c r="C54" s="89" t="s">
        <v>47</v>
      </c>
      <c r="D54" s="90">
        <v>210</v>
      </c>
      <c r="E54" s="736" t="s">
        <v>75</v>
      </c>
      <c r="F54" s="101">
        <f t="shared" si="9"/>
        <v>150</v>
      </c>
      <c r="G54" s="103"/>
      <c r="H54" s="94">
        <v>150</v>
      </c>
      <c r="I54" s="87"/>
      <c r="J54" s="81">
        <f t="shared" si="10"/>
        <v>150</v>
      </c>
      <c r="K54" s="173"/>
      <c r="L54" s="155">
        <v>150</v>
      </c>
      <c r="M54" s="155"/>
      <c r="N54" s="101">
        <f t="shared" si="11"/>
        <v>141.29</v>
      </c>
      <c r="O54" s="154"/>
      <c r="P54" s="155">
        <v>141.29</v>
      </c>
      <c r="Q54" s="165"/>
      <c r="R54" s="214"/>
    </row>
    <row r="55" spans="1:18" ht="13.5" thickBot="1">
      <c r="A55" s="610" t="s">
        <v>203</v>
      </c>
      <c r="B55" s="109">
        <v>2219</v>
      </c>
      <c r="C55" s="611" t="s">
        <v>47</v>
      </c>
      <c r="D55" s="111">
        <v>10</v>
      </c>
      <c r="E55" s="612" t="s">
        <v>202</v>
      </c>
      <c r="F55" s="113">
        <f t="shared" si="9"/>
        <v>0</v>
      </c>
      <c r="G55" s="114">
        <v>0</v>
      </c>
      <c r="H55" s="115"/>
      <c r="I55" s="116"/>
      <c r="J55" s="613">
        <f t="shared" si="10"/>
        <v>163</v>
      </c>
      <c r="K55" s="174">
        <f>3600-3437</f>
        <v>163</v>
      </c>
      <c r="L55" s="157"/>
      <c r="M55" s="157"/>
      <c r="N55" s="124">
        <f t="shared" si="11"/>
        <v>162.14</v>
      </c>
      <c r="O55" s="156">
        <v>162.14</v>
      </c>
      <c r="P55" s="157"/>
      <c r="Q55" s="176"/>
      <c r="R55" s="214"/>
    </row>
    <row r="56" spans="1:18" ht="12.75">
      <c r="A56" s="689" t="s">
        <v>246</v>
      </c>
      <c r="B56" s="534">
        <v>2219</v>
      </c>
      <c r="C56" s="614" t="s">
        <v>47</v>
      </c>
      <c r="D56" s="480"/>
      <c r="E56" s="556" t="s">
        <v>247</v>
      </c>
      <c r="F56" s="605">
        <f t="shared" si="9"/>
        <v>0</v>
      </c>
      <c r="G56" s="519">
        <v>0</v>
      </c>
      <c r="H56" s="606"/>
      <c r="I56" s="459"/>
      <c r="J56" s="607">
        <f t="shared" si="10"/>
        <v>70.8</v>
      </c>
      <c r="K56" s="608">
        <v>70.8</v>
      </c>
      <c r="L56" s="458"/>
      <c r="M56" s="458"/>
      <c r="N56" s="605">
        <f t="shared" si="11"/>
        <v>70.7</v>
      </c>
      <c r="O56" s="457">
        <v>70.7</v>
      </c>
      <c r="P56" s="458"/>
      <c r="Q56" s="565"/>
      <c r="R56" s="214"/>
    </row>
    <row r="57" spans="1:18" ht="12.75">
      <c r="A57" s="51" t="s">
        <v>246</v>
      </c>
      <c r="B57" s="288">
        <v>2219</v>
      </c>
      <c r="C57" s="64" t="s">
        <v>47</v>
      </c>
      <c r="D57" s="39">
        <v>90</v>
      </c>
      <c r="E57" s="713" t="s">
        <v>247</v>
      </c>
      <c r="F57" s="100">
        <f t="shared" si="9"/>
        <v>0</v>
      </c>
      <c r="G57" s="74">
        <v>0</v>
      </c>
      <c r="H57" s="52"/>
      <c r="I57" s="84"/>
      <c r="J57" s="117">
        <f t="shared" si="10"/>
        <v>1806.8</v>
      </c>
      <c r="K57" s="172">
        <v>1806.8</v>
      </c>
      <c r="L57" s="153"/>
      <c r="M57" s="153"/>
      <c r="N57" s="100">
        <f t="shared" si="11"/>
        <v>1806.77</v>
      </c>
      <c r="O57" s="152">
        <v>1806.77</v>
      </c>
      <c r="P57" s="153"/>
      <c r="Q57" s="202"/>
      <c r="R57" s="214"/>
    </row>
    <row r="58" spans="1:18" ht="13.5" thickBot="1">
      <c r="A58" s="690" t="s">
        <v>246</v>
      </c>
      <c r="B58" s="609">
        <v>2219</v>
      </c>
      <c r="C58" s="710" t="s">
        <v>47</v>
      </c>
      <c r="D58" s="492">
        <v>210</v>
      </c>
      <c r="E58" s="560" t="s">
        <v>247</v>
      </c>
      <c r="F58" s="616">
        <f t="shared" si="9"/>
        <v>0</v>
      </c>
      <c r="G58" s="529">
        <v>0</v>
      </c>
      <c r="H58" s="711"/>
      <c r="I58" s="472"/>
      <c r="J58" s="615">
        <f t="shared" si="10"/>
        <v>38</v>
      </c>
      <c r="K58" s="712">
        <v>38</v>
      </c>
      <c r="L58" s="471"/>
      <c r="M58" s="471"/>
      <c r="N58" s="616">
        <f t="shared" si="11"/>
        <v>26.4</v>
      </c>
      <c r="O58" s="470">
        <v>26.4</v>
      </c>
      <c r="P58" s="471"/>
      <c r="Q58" s="567"/>
      <c r="R58" s="214"/>
    </row>
    <row r="59" spans="1:18" ht="13.5" thickBot="1">
      <c r="A59" s="374" t="s">
        <v>25</v>
      </c>
      <c r="B59" s="375"/>
      <c r="C59" s="66"/>
      <c r="D59" s="42"/>
      <c r="E59" s="45"/>
      <c r="F59" s="85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347"/>
    </row>
    <row r="60" spans="1:18" ht="13.5" thickBot="1">
      <c r="A60" s="433"/>
      <c r="B60" s="378"/>
      <c r="C60" s="379"/>
      <c r="D60" s="351"/>
      <c r="E60" s="352" t="s">
        <v>16</v>
      </c>
      <c r="F60" s="353">
        <f aca="true" t="shared" si="12" ref="F60:F77">SUM(G60:I60)</f>
        <v>290100</v>
      </c>
      <c r="G60" s="380">
        <f>SUM(G61:G128)</f>
        <v>290100</v>
      </c>
      <c r="H60" s="380">
        <f>SUM(H61:H128)</f>
        <v>0</v>
      </c>
      <c r="I60" s="380">
        <f>SUM(I61:I128)</f>
        <v>0</v>
      </c>
      <c r="J60" s="373">
        <f>SUM(K60:M60)</f>
        <v>293691.39999999997</v>
      </c>
      <c r="K60" s="356">
        <f>SUM(K61:K128)</f>
        <v>284302.6</v>
      </c>
      <c r="L60" s="356">
        <f>SUM(L61:L128)</f>
        <v>644.3</v>
      </c>
      <c r="M60" s="356">
        <f>SUM(M61:M128)</f>
        <v>8744.5</v>
      </c>
      <c r="N60" s="353">
        <f aca="true" t="shared" si="13" ref="N60:N89">SUM(O60:Q60)</f>
        <v>212292.57</v>
      </c>
      <c r="O60" s="380">
        <f>SUM(O61:O128)</f>
        <v>203365.17</v>
      </c>
      <c r="P60" s="380">
        <f>SUM(P61:P128)</f>
        <v>496.85</v>
      </c>
      <c r="Q60" s="381">
        <f>SUM(Q61:Q128)</f>
        <v>8430.55</v>
      </c>
      <c r="R60" s="359">
        <f>SUM(N60/J60)</f>
        <v>0.7228423099893291</v>
      </c>
    </row>
    <row r="61" spans="1:18" ht="12.75">
      <c r="A61" s="568">
        <v>16614</v>
      </c>
      <c r="B61" s="452">
        <v>3111</v>
      </c>
      <c r="C61" s="453" t="s">
        <v>42</v>
      </c>
      <c r="D61" s="454">
        <v>210</v>
      </c>
      <c r="E61" s="455" t="s">
        <v>130</v>
      </c>
      <c r="F61" s="481">
        <f t="shared" si="12"/>
        <v>5000</v>
      </c>
      <c r="G61" s="457">
        <v>5000</v>
      </c>
      <c r="H61" s="458"/>
      <c r="I61" s="459"/>
      <c r="J61" s="460">
        <f>SUM(K61:M61)</f>
        <v>0</v>
      </c>
      <c r="K61" s="457">
        <f>5000-2400-2600</f>
        <v>0</v>
      </c>
      <c r="L61" s="461"/>
      <c r="M61" s="462"/>
      <c r="N61" s="456">
        <f t="shared" si="13"/>
        <v>0</v>
      </c>
      <c r="O61" s="641">
        <v>0</v>
      </c>
      <c r="P61" s="564"/>
      <c r="Q61" s="565"/>
      <c r="R61" s="214"/>
    </row>
    <row r="62" spans="1:18" ht="13.5" thickBot="1">
      <c r="A62" s="569" t="s">
        <v>225</v>
      </c>
      <c r="B62" s="466">
        <v>3111</v>
      </c>
      <c r="C62" s="467" t="s">
        <v>42</v>
      </c>
      <c r="D62" s="468">
        <v>90</v>
      </c>
      <c r="E62" s="465" t="s">
        <v>130</v>
      </c>
      <c r="F62" s="493">
        <f>SUM(G62:I62)</f>
        <v>0</v>
      </c>
      <c r="G62" s="470">
        <v>0</v>
      </c>
      <c r="H62" s="471">
        <v>0</v>
      </c>
      <c r="I62" s="472"/>
      <c r="J62" s="473">
        <f>SUM(K62:M62)</f>
        <v>13759.7</v>
      </c>
      <c r="K62" s="470">
        <f>13759.7-244.3</f>
        <v>13515.400000000001</v>
      </c>
      <c r="L62" s="474">
        <v>244.3</v>
      </c>
      <c r="M62" s="475"/>
      <c r="N62" s="469">
        <f t="shared" si="13"/>
        <v>2735.92</v>
      </c>
      <c r="O62" s="686">
        <v>2496.67</v>
      </c>
      <c r="P62" s="566">
        <v>239.25</v>
      </c>
      <c r="Q62" s="567"/>
      <c r="R62" s="214"/>
    </row>
    <row r="63" spans="1:18" ht="12.75">
      <c r="A63" s="563" t="s">
        <v>67</v>
      </c>
      <c r="B63" s="286">
        <v>3111</v>
      </c>
      <c r="C63" s="262" t="s">
        <v>42</v>
      </c>
      <c r="D63" s="107">
        <v>210</v>
      </c>
      <c r="E63" s="343" t="s">
        <v>129</v>
      </c>
      <c r="F63" s="338">
        <f>SUM(G63:I63)</f>
        <v>5000</v>
      </c>
      <c r="G63" s="154">
        <v>5000</v>
      </c>
      <c r="H63" s="155"/>
      <c r="I63" s="87"/>
      <c r="J63" s="263">
        <f>SUM(K63:M63)</f>
        <v>2400</v>
      </c>
      <c r="K63" s="154">
        <f>5000-1500-1100</f>
        <v>2400</v>
      </c>
      <c r="L63" s="165"/>
      <c r="M63" s="264"/>
      <c r="N63" s="99">
        <f t="shared" si="13"/>
        <v>113.49</v>
      </c>
      <c r="O63" s="325">
        <v>113.49</v>
      </c>
      <c r="P63" s="265"/>
      <c r="Q63" s="195"/>
      <c r="R63" s="214"/>
    </row>
    <row r="64" spans="1:18" ht="12.75">
      <c r="A64" s="339" t="s">
        <v>62</v>
      </c>
      <c r="B64" s="287">
        <v>3111</v>
      </c>
      <c r="C64" s="147" t="s">
        <v>42</v>
      </c>
      <c r="D64" s="104">
        <v>210</v>
      </c>
      <c r="E64" s="343" t="s">
        <v>138</v>
      </c>
      <c r="F64" s="102">
        <f>SUM(G64:I64)</f>
        <v>3000</v>
      </c>
      <c r="G64" s="152">
        <v>3000</v>
      </c>
      <c r="H64" s="153"/>
      <c r="I64" s="84"/>
      <c r="J64" s="68">
        <f>SUM(K64:M64)</f>
        <v>100</v>
      </c>
      <c r="K64" s="152">
        <f>3000-2900</f>
        <v>100</v>
      </c>
      <c r="L64" s="167"/>
      <c r="M64" s="175"/>
      <c r="N64" s="102">
        <f t="shared" si="13"/>
        <v>28.74</v>
      </c>
      <c r="O64" s="269">
        <v>28.74</v>
      </c>
      <c r="P64" s="236"/>
      <c r="Q64" s="202"/>
      <c r="R64" s="214"/>
    </row>
    <row r="65" spans="1:18" ht="12.75">
      <c r="A65" s="270" t="s">
        <v>63</v>
      </c>
      <c r="B65" s="285">
        <v>3111</v>
      </c>
      <c r="C65" s="146" t="s">
        <v>42</v>
      </c>
      <c r="D65" s="271">
        <v>210</v>
      </c>
      <c r="E65" s="343" t="s">
        <v>128</v>
      </c>
      <c r="F65" s="102">
        <f t="shared" si="12"/>
        <v>5000</v>
      </c>
      <c r="G65" s="269">
        <v>5000</v>
      </c>
      <c r="H65" s="167"/>
      <c r="I65" s="202"/>
      <c r="J65" s="272">
        <f aca="true" t="shared" si="14" ref="J65:J76">SUM(K65:M65)</f>
        <v>3210</v>
      </c>
      <c r="K65" s="269">
        <f>5000+1500-3200-90</f>
        <v>3210</v>
      </c>
      <c r="L65" s="168"/>
      <c r="M65" s="249"/>
      <c r="N65" s="102">
        <f t="shared" si="13"/>
        <v>2869.72</v>
      </c>
      <c r="O65" s="269">
        <v>2869.72</v>
      </c>
      <c r="P65" s="236"/>
      <c r="Q65" s="202"/>
      <c r="R65" s="214"/>
    </row>
    <row r="66" spans="1:18" ht="13.5" thickBot="1">
      <c r="A66" s="714" t="s">
        <v>158</v>
      </c>
      <c r="B66" s="676">
        <v>3111</v>
      </c>
      <c r="C66" s="677" t="s">
        <v>42</v>
      </c>
      <c r="D66" s="258">
        <v>210</v>
      </c>
      <c r="E66" s="439" t="s">
        <v>137</v>
      </c>
      <c r="F66" s="137">
        <f t="shared" si="12"/>
        <v>4600</v>
      </c>
      <c r="G66" s="150">
        <v>4600</v>
      </c>
      <c r="H66" s="112"/>
      <c r="I66" s="116"/>
      <c r="J66" s="530">
        <f t="shared" si="14"/>
        <v>2600</v>
      </c>
      <c r="K66" s="156">
        <f>4600-2000</f>
        <v>2600</v>
      </c>
      <c r="L66" s="176"/>
      <c r="M66" s="259"/>
      <c r="N66" s="137">
        <f t="shared" si="13"/>
        <v>2030.38</v>
      </c>
      <c r="O66" s="440">
        <v>2030.38</v>
      </c>
      <c r="P66" s="678"/>
      <c r="Q66" s="441"/>
      <c r="R66" s="214"/>
    </row>
    <row r="67" spans="1:18" ht="12.75">
      <c r="A67" s="691">
        <v>19611</v>
      </c>
      <c r="B67" s="452">
        <v>3111</v>
      </c>
      <c r="C67" s="453" t="s">
        <v>42</v>
      </c>
      <c r="D67" s="454">
        <v>10</v>
      </c>
      <c r="E67" s="455" t="s">
        <v>127</v>
      </c>
      <c r="F67" s="456">
        <f t="shared" si="12"/>
        <v>26000</v>
      </c>
      <c r="G67" s="457">
        <v>26000</v>
      </c>
      <c r="H67" s="458"/>
      <c r="I67" s="459"/>
      <c r="J67" s="460">
        <f t="shared" si="14"/>
        <v>33687</v>
      </c>
      <c r="K67" s="457">
        <f>26000+8000-313</f>
        <v>33687</v>
      </c>
      <c r="L67" s="461"/>
      <c r="M67" s="462"/>
      <c r="N67" s="456">
        <f t="shared" si="13"/>
        <v>33487.64</v>
      </c>
      <c r="O67" s="641">
        <v>33487.64</v>
      </c>
      <c r="P67" s="463"/>
      <c r="Q67" s="464"/>
      <c r="R67" s="214"/>
    </row>
    <row r="68" spans="1:18" ht="13.5" thickBot="1">
      <c r="A68" s="695">
        <v>19611</v>
      </c>
      <c r="B68" s="557">
        <v>3111</v>
      </c>
      <c r="C68" s="558" t="s">
        <v>42</v>
      </c>
      <c r="D68" s="559">
        <v>210</v>
      </c>
      <c r="E68" s="465" t="s">
        <v>127</v>
      </c>
      <c r="F68" s="543">
        <f>SUM(G68:I68)</f>
        <v>0</v>
      </c>
      <c r="G68" s="552">
        <v>0</v>
      </c>
      <c r="H68" s="548"/>
      <c r="I68" s="546"/>
      <c r="J68" s="547">
        <f>SUM(K68:M68)</f>
        <v>700</v>
      </c>
      <c r="K68" s="552">
        <v>700</v>
      </c>
      <c r="L68" s="549"/>
      <c r="M68" s="550"/>
      <c r="N68" s="543">
        <f>SUM(O68:Q68)</f>
        <v>0</v>
      </c>
      <c r="O68" s="642">
        <v>0</v>
      </c>
      <c r="P68" s="561"/>
      <c r="Q68" s="562"/>
      <c r="R68" s="214"/>
    </row>
    <row r="69" spans="1:18" ht="12.75">
      <c r="A69" s="446" t="s">
        <v>76</v>
      </c>
      <c r="B69" s="447">
        <v>3111</v>
      </c>
      <c r="C69" s="329" t="s">
        <v>42</v>
      </c>
      <c r="D69" s="448">
        <v>210</v>
      </c>
      <c r="E69" s="343" t="s">
        <v>131</v>
      </c>
      <c r="F69" s="99">
        <f t="shared" si="12"/>
        <v>1000</v>
      </c>
      <c r="G69" s="325">
        <v>1000</v>
      </c>
      <c r="H69" s="165"/>
      <c r="I69" s="195"/>
      <c r="J69" s="449">
        <f t="shared" si="14"/>
        <v>1000</v>
      </c>
      <c r="K69" s="325">
        <v>1000</v>
      </c>
      <c r="L69" s="199"/>
      <c r="M69" s="450"/>
      <c r="N69" s="99">
        <f t="shared" si="13"/>
        <v>10.29</v>
      </c>
      <c r="O69" s="325">
        <v>10.29</v>
      </c>
      <c r="P69" s="451"/>
      <c r="Q69" s="200"/>
      <c r="R69" s="214"/>
    </row>
    <row r="70" spans="1:18" ht="12.75">
      <c r="A70" s="339" t="s">
        <v>262</v>
      </c>
      <c r="B70" s="285">
        <v>3111</v>
      </c>
      <c r="C70" s="146" t="s">
        <v>42</v>
      </c>
      <c r="D70" s="271">
        <v>210</v>
      </c>
      <c r="E70" s="343" t="s">
        <v>264</v>
      </c>
      <c r="F70" s="102">
        <f>SUM(G70:I70)</f>
        <v>0</v>
      </c>
      <c r="G70" s="269">
        <v>0</v>
      </c>
      <c r="H70" s="167"/>
      <c r="I70" s="202"/>
      <c r="J70" s="272">
        <f>SUM(K70:M70)</f>
        <v>400</v>
      </c>
      <c r="K70" s="269">
        <v>400</v>
      </c>
      <c r="L70" s="168"/>
      <c r="M70" s="249"/>
      <c r="N70" s="102">
        <f>SUM(O70:Q70)</f>
        <v>0</v>
      </c>
      <c r="O70" s="269">
        <v>0</v>
      </c>
      <c r="P70" s="315"/>
      <c r="Q70" s="301"/>
      <c r="R70" s="214"/>
    </row>
    <row r="71" spans="1:18" ht="12.75">
      <c r="A71" s="339" t="s">
        <v>86</v>
      </c>
      <c r="B71" s="285">
        <v>3111</v>
      </c>
      <c r="C71" s="146" t="s">
        <v>42</v>
      </c>
      <c r="D71" s="271">
        <v>210</v>
      </c>
      <c r="E71" s="343" t="s">
        <v>132</v>
      </c>
      <c r="F71" s="102">
        <f>SUM(G71:I71)</f>
        <v>2500</v>
      </c>
      <c r="G71" s="269">
        <v>2500</v>
      </c>
      <c r="H71" s="167"/>
      <c r="I71" s="202"/>
      <c r="J71" s="272">
        <f>SUM(K71:M71)</f>
        <v>2500</v>
      </c>
      <c r="K71" s="269">
        <v>2500</v>
      </c>
      <c r="L71" s="168"/>
      <c r="M71" s="249"/>
      <c r="N71" s="102">
        <f t="shared" si="13"/>
        <v>1507.44</v>
      </c>
      <c r="O71" s="269">
        <v>1507.44</v>
      </c>
      <c r="P71" s="315"/>
      <c r="Q71" s="301"/>
      <c r="R71" s="214"/>
    </row>
    <row r="72" spans="1:18" ht="13.5" thickBot="1">
      <c r="A72" s="435" t="s">
        <v>159</v>
      </c>
      <c r="B72" s="436">
        <v>3111</v>
      </c>
      <c r="C72" s="437" t="s">
        <v>42</v>
      </c>
      <c r="D72" s="438">
        <v>210</v>
      </c>
      <c r="E72" s="439" t="s">
        <v>133</v>
      </c>
      <c r="F72" s="137">
        <f>SUM(G72:I72)</f>
        <v>1500</v>
      </c>
      <c r="G72" s="440">
        <v>1500</v>
      </c>
      <c r="H72" s="176"/>
      <c r="I72" s="441"/>
      <c r="J72" s="442">
        <f>SUM(K72:M72)</f>
        <v>1500</v>
      </c>
      <c r="K72" s="440">
        <v>1500</v>
      </c>
      <c r="L72" s="443"/>
      <c r="M72" s="444"/>
      <c r="N72" s="137">
        <f t="shared" si="13"/>
        <v>1257.09</v>
      </c>
      <c r="O72" s="440">
        <v>1257.09</v>
      </c>
      <c r="P72" s="445"/>
      <c r="Q72" s="248"/>
      <c r="R72" s="214"/>
    </row>
    <row r="73" spans="1:18" ht="12.75">
      <c r="A73" s="691">
        <v>21619</v>
      </c>
      <c r="B73" s="452">
        <v>3111</v>
      </c>
      <c r="C73" s="453" t="s">
        <v>42</v>
      </c>
      <c r="D73" s="454">
        <v>10</v>
      </c>
      <c r="E73" s="455" t="s">
        <v>134</v>
      </c>
      <c r="F73" s="456">
        <f t="shared" si="12"/>
        <v>0</v>
      </c>
      <c r="G73" s="457">
        <v>0</v>
      </c>
      <c r="H73" s="458"/>
      <c r="I73" s="459"/>
      <c r="J73" s="460">
        <f t="shared" si="14"/>
        <v>4062.2</v>
      </c>
      <c r="K73" s="457">
        <v>4062.2</v>
      </c>
      <c r="L73" s="461"/>
      <c r="M73" s="462"/>
      <c r="N73" s="456">
        <f t="shared" si="13"/>
        <v>114.95</v>
      </c>
      <c r="O73" s="641">
        <v>114.95</v>
      </c>
      <c r="P73" s="463"/>
      <c r="Q73" s="464"/>
      <c r="R73" s="214"/>
    </row>
    <row r="74" spans="1:18" ht="13.5" thickBot="1">
      <c r="A74" s="692">
        <v>21619</v>
      </c>
      <c r="B74" s="466">
        <v>3111</v>
      </c>
      <c r="C74" s="467" t="s">
        <v>42</v>
      </c>
      <c r="D74" s="468">
        <v>210</v>
      </c>
      <c r="E74" s="465" t="s">
        <v>134</v>
      </c>
      <c r="F74" s="469">
        <f>SUM(G74:I74)</f>
        <v>100</v>
      </c>
      <c r="G74" s="470">
        <v>100</v>
      </c>
      <c r="H74" s="471"/>
      <c r="I74" s="472"/>
      <c r="J74" s="473">
        <f>SUM(K74:M74)</f>
        <v>100</v>
      </c>
      <c r="K74" s="470">
        <v>100</v>
      </c>
      <c r="L74" s="474"/>
      <c r="M74" s="475"/>
      <c r="N74" s="469">
        <f t="shared" si="13"/>
        <v>0</v>
      </c>
      <c r="O74" s="686">
        <v>0</v>
      </c>
      <c r="P74" s="476"/>
      <c r="Q74" s="477"/>
      <c r="R74" s="214"/>
    </row>
    <row r="75" spans="1:18" ht="12.75">
      <c r="A75" s="446" t="s">
        <v>95</v>
      </c>
      <c r="B75" s="447">
        <v>3111</v>
      </c>
      <c r="C75" s="329" t="s">
        <v>42</v>
      </c>
      <c r="D75" s="448">
        <v>210</v>
      </c>
      <c r="E75" s="344" t="s">
        <v>135</v>
      </c>
      <c r="F75" s="99">
        <f t="shared" si="12"/>
        <v>600</v>
      </c>
      <c r="G75" s="160">
        <v>600</v>
      </c>
      <c r="H75" s="165"/>
      <c r="I75" s="195"/>
      <c r="J75" s="449">
        <f t="shared" si="14"/>
        <v>200</v>
      </c>
      <c r="K75" s="325">
        <f>600+900-1300</f>
        <v>200</v>
      </c>
      <c r="L75" s="199"/>
      <c r="M75" s="450"/>
      <c r="N75" s="99">
        <f t="shared" si="13"/>
        <v>59.29</v>
      </c>
      <c r="O75" s="325">
        <v>59.29</v>
      </c>
      <c r="P75" s="451"/>
      <c r="Q75" s="200"/>
      <c r="R75" s="214"/>
    </row>
    <row r="76" spans="1:18" ht="12.75">
      <c r="A76" s="270" t="s">
        <v>96</v>
      </c>
      <c r="B76" s="285">
        <v>3111</v>
      </c>
      <c r="C76" s="360" t="s">
        <v>42</v>
      </c>
      <c r="D76" s="239">
        <v>210</v>
      </c>
      <c r="E76" s="344" t="s">
        <v>136</v>
      </c>
      <c r="F76" s="102">
        <f t="shared" si="12"/>
        <v>500</v>
      </c>
      <c r="G76" s="152">
        <v>500</v>
      </c>
      <c r="H76" s="153"/>
      <c r="I76" s="84"/>
      <c r="J76" s="361">
        <f t="shared" si="14"/>
        <v>1436</v>
      </c>
      <c r="K76" s="152">
        <f>500+1000-64</f>
        <v>1436</v>
      </c>
      <c r="L76" s="168"/>
      <c r="M76" s="249"/>
      <c r="N76" s="102">
        <f t="shared" si="13"/>
        <v>1075.59</v>
      </c>
      <c r="O76" s="269">
        <v>1075.59</v>
      </c>
      <c r="P76" s="315"/>
      <c r="Q76" s="301"/>
      <c r="R76" s="214"/>
    </row>
    <row r="77" spans="1:18" ht="12.75">
      <c r="A77" s="270" t="s">
        <v>160</v>
      </c>
      <c r="B77" s="285">
        <v>3111</v>
      </c>
      <c r="C77" s="312" t="s">
        <v>42</v>
      </c>
      <c r="D77" s="239">
        <v>210</v>
      </c>
      <c r="E77" s="343" t="s">
        <v>139</v>
      </c>
      <c r="F77" s="102">
        <f t="shared" si="12"/>
        <v>700</v>
      </c>
      <c r="G77" s="152">
        <v>700</v>
      </c>
      <c r="H77" s="153"/>
      <c r="I77" s="84"/>
      <c r="J77" s="361">
        <f aca="true" t="shared" si="15" ref="J77:J85">SUM(K77:M77)</f>
        <v>700</v>
      </c>
      <c r="K77" s="152">
        <v>700</v>
      </c>
      <c r="L77" s="168"/>
      <c r="M77" s="249"/>
      <c r="N77" s="102">
        <f t="shared" si="13"/>
        <v>0</v>
      </c>
      <c r="O77" s="269">
        <v>0</v>
      </c>
      <c r="P77" s="315"/>
      <c r="Q77" s="301"/>
      <c r="R77" s="214"/>
    </row>
    <row r="78" spans="1:18" ht="12.75">
      <c r="A78" s="270" t="s">
        <v>255</v>
      </c>
      <c r="B78" s="285">
        <v>3111</v>
      </c>
      <c r="C78" s="312" t="s">
        <v>42</v>
      </c>
      <c r="D78" s="239">
        <v>210</v>
      </c>
      <c r="E78" s="343" t="s">
        <v>256</v>
      </c>
      <c r="F78" s="102">
        <f aca="true" t="shared" si="16" ref="F78:F87">SUM(G78:I78)</f>
        <v>0</v>
      </c>
      <c r="G78" s="152"/>
      <c r="H78" s="153">
        <v>0</v>
      </c>
      <c r="I78" s="84"/>
      <c r="J78" s="361">
        <f t="shared" si="15"/>
        <v>200</v>
      </c>
      <c r="K78" s="152"/>
      <c r="L78" s="168">
        <v>200</v>
      </c>
      <c r="M78" s="249"/>
      <c r="N78" s="102">
        <f>SUM(O78:Q78)</f>
        <v>120.87</v>
      </c>
      <c r="O78" s="269"/>
      <c r="P78" s="315">
        <v>120.87</v>
      </c>
      <c r="Q78" s="301"/>
      <c r="R78" s="214"/>
    </row>
    <row r="79" spans="1:18" ht="12.75">
      <c r="A79" s="140" t="s">
        <v>289</v>
      </c>
      <c r="B79" s="288">
        <v>3111</v>
      </c>
      <c r="C79" s="71" t="s">
        <v>42</v>
      </c>
      <c r="D79" s="105">
        <v>210</v>
      </c>
      <c r="E79" s="337" t="s">
        <v>287</v>
      </c>
      <c r="F79" s="102">
        <f>SUM(G79:I79)</f>
        <v>0</v>
      </c>
      <c r="G79" s="69">
        <v>0</v>
      </c>
      <c r="H79" s="40"/>
      <c r="I79" s="84"/>
      <c r="J79" s="68">
        <f t="shared" si="15"/>
        <v>600</v>
      </c>
      <c r="K79" s="715">
        <v>600</v>
      </c>
      <c r="L79" s="158"/>
      <c r="M79" s="175"/>
      <c r="N79" s="125">
        <f>SUM(O79:Q79)</f>
        <v>130.92</v>
      </c>
      <c r="O79" s="152">
        <v>130.92</v>
      </c>
      <c r="P79" s="161"/>
      <c r="Q79" s="205"/>
      <c r="R79" s="214"/>
    </row>
    <row r="80" spans="1:18" ht="12.75">
      <c r="A80" s="140" t="s">
        <v>290</v>
      </c>
      <c r="B80" s="288">
        <v>3111</v>
      </c>
      <c r="C80" s="71" t="s">
        <v>42</v>
      </c>
      <c r="D80" s="39">
        <v>210</v>
      </c>
      <c r="E80" s="337" t="s">
        <v>288</v>
      </c>
      <c r="F80" s="100">
        <f>SUM(G80:I80)</f>
        <v>0</v>
      </c>
      <c r="G80" s="74"/>
      <c r="H80" s="52">
        <v>0</v>
      </c>
      <c r="I80" s="84"/>
      <c r="J80" s="117">
        <f>SUM(K80:M80)</f>
        <v>200</v>
      </c>
      <c r="K80" s="275"/>
      <c r="L80" s="152">
        <v>200</v>
      </c>
      <c r="M80" s="153"/>
      <c r="N80" s="100">
        <f>SUM(O80:Q80)</f>
        <v>136.73</v>
      </c>
      <c r="O80" s="152"/>
      <c r="P80" s="153">
        <v>136.73</v>
      </c>
      <c r="Q80" s="202"/>
      <c r="R80" s="214"/>
    </row>
    <row r="81" spans="1:18" ht="13.5" thickBot="1">
      <c r="A81" s="435" t="s">
        <v>215</v>
      </c>
      <c r="B81" s="436">
        <v>3111</v>
      </c>
      <c r="C81" s="661" t="s">
        <v>42</v>
      </c>
      <c r="D81" s="438"/>
      <c r="E81" s="439" t="s">
        <v>305</v>
      </c>
      <c r="F81" s="137">
        <f t="shared" si="16"/>
        <v>0</v>
      </c>
      <c r="G81" s="156"/>
      <c r="H81" s="157"/>
      <c r="I81" s="116">
        <v>0</v>
      </c>
      <c r="J81" s="662">
        <f t="shared" si="15"/>
        <v>89.1</v>
      </c>
      <c r="K81" s="156"/>
      <c r="L81" s="443"/>
      <c r="M81" s="444">
        <f>44+45.1</f>
        <v>89.1</v>
      </c>
      <c r="N81" s="137">
        <f t="shared" si="13"/>
        <v>89.09</v>
      </c>
      <c r="O81" s="440"/>
      <c r="P81" s="445"/>
      <c r="Q81" s="248">
        <v>89.09</v>
      </c>
      <c r="R81" s="214"/>
    </row>
    <row r="82" spans="1:18" ht="12.75">
      <c r="A82" s="693" t="s">
        <v>220</v>
      </c>
      <c r="B82" s="663">
        <v>3111</v>
      </c>
      <c r="C82" s="664" t="s">
        <v>42</v>
      </c>
      <c r="D82" s="665">
        <v>108517985</v>
      </c>
      <c r="E82" s="455" t="s">
        <v>221</v>
      </c>
      <c r="F82" s="456">
        <f t="shared" si="16"/>
        <v>0</v>
      </c>
      <c r="G82" s="457"/>
      <c r="H82" s="458"/>
      <c r="I82" s="459">
        <v>0</v>
      </c>
      <c r="J82" s="666">
        <f t="shared" si="15"/>
        <v>450</v>
      </c>
      <c r="K82" s="457"/>
      <c r="L82" s="667"/>
      <c r="M82" s="668">
        <v>450</v>
      </c>
      <c r="N82" s="456">
        <f t="shared" si="13"/>
        <v>324.8</v>
      </c>
      <c r="O82" s="641"/>
      <c r="P82" s="463"/>
      <c r="Q82" s="464">
        <v>324.8</v>
      </c>
      <c r="R82" s="214"/>
    </row>
    <row r="83" spans="1:18" ht="13.5" thickBot="1">
      <c r="A83" s="694" t="s">
        <v>220</v>
      </c>
      <c r="B83" s="669">
        <v>3111</v>
      </c>
      <c r="C83" s="670" t="s">
        <v>42</v>
      </c>
      <c r="D83" s="671">
        <v>108100105</v>
      </c>
      <c r="E83" s="465" t="s">
        <v>221</v>
      </c>
      <c r="F83" s="543">
        <f t="shared" si="16"/>
        <v>0</v>
      </c>
      <c r="G83" s="552"/>
      <c r="H83" s="548"/>
      <c r="I83" s="546">
        <v>0</v>
      </c>
      <c r="J83" s="672">
        <f t="shared" si="15"/>
        <v>360</v>
      </c>
      <c r="K83" s="552"/>
      <c r="L83" s="673"/>
      <c r="M83" s="674">
        <v>360</v>
      </c>
      <c r="N83" s="543">
        <f t="shared" si="13"/>
        <v>259.84</v>
      </c>
      <c r="O83" s="642"/>
      <c r="P83" s="561"/>
      <c r="Q83" s="562">
        <v>259.84</v>
      </c>
      <c r="R83" s="214"/>
    </row>
    <row r="84" spans="1:18" ht="12.75">
      <c r="A84" s="693" t="s">
        <v>269</v>
      </c>
      <c r="B84" s="663">
        <v>3111</v>
      </c>
      <c r="C84" s="664" t="s">
        <v>42</v>
      </c>
      <c r="D84" s="665">
        <v>108517985</v>
      </c>
      <c r="E84" s="455" t="s">
        <v>270</v>
      </c>
      <c r="F84" s="456">
        <f>SUM(G84:I84)</f>
        <v>0</v>
      </c>
      <c r="G84" s="457"/>
      <c r="H84" s="458"/>
      <c r="I84" s="459">
        <v>0</v>
      </c>
      <c r="J84" s="666">
        <f t="shared" si="15"/>
        <v>222.5</v>
      </c>
      <c r="K84" s="457"/>
      <c r="L84" s="667"/>
      <c r="M84" s="668">
        <v>222.5</v>
      </c>
      <c r="N84" s="456">
        <f>SUM(O84:Q84)</f>
        <v>204.7</v>
      </c>
      <c r="O84" s="641"/>
      <c r="P84" s="463"/>
      <c r="Q84" s="464">
        <v>204.7</v>
      </c>
      <c r="R84" s="214"/>
    </row>
    <row r="85" spans="1:18" ht="13.5" thickBot="1">
      <c r="A85" s="694" t="s">
        <v>269</v>
      </c>
      <c r="B85" s="669">
        <v>3111</v>
      </c>
      <c r="C85" s="670" t="s">
        <v>42</v>
      </c>
      <c r="D85" s="671">
        <v>108100105</v>
      </c>
      <c r="E85" s="465" t="s">
        <v>270</v>
      </c>
      <c r="F85" s="543">
        <f>SUM(G85:I85)</f>
        <v>0</v>
      </c>
      <c r="G85" s="552"/>
      <c r="H85" s="548"/>
      <c r="I85" s="546">
        <v>0</v>
      </c>
      <c r="J85" s="672">
        <f t="shared" si="15"/>
        <v>178</v>
      </c>
      <c r="K85" s="552"/>
      <c r="L85" s="673"/>
      <c r="M85" s="674">
        <v>178</v>
      </c>
      <c r="N85" s="543">
        <f>SUM(O85:Q85)</f>
        <v>163.76</v>
      </c>
      <c r="O85" s="642"/>
      <c r="P85" s="561"/>
      <c r="Q85" s="562">
        <v>163.76</v>
      </c>
      <c r="R85" s="214"/>
    </row>
    <row r="86" spans="1:18" ht="12.75">
      <c r="A86" s="555">
        <v>14636</v>
      </c>
      <c r="B86" s="286">
        <v>3113</v>
      </c>
      <c r="C86" s="262" t="s">
        <v>42</v>
      </c>
      <c r="D86" s="107">
        <v>210</v>
      </c>
      <c r="E86" s="343" t="s">
        <v>145</v>
      </c>
      <c r="F86" s="99">
        <f t="shared" si="16"/>
        <v>5000</v>
      </c>
      <c r="G86" s="70">
        <v>5000</v>
      </c>
      <c r="H86" s="47"/>
      <c r="I86" s="87"/>
      <c r="J86" s="263">
        <f>SUM(K86:M86)</f>
        <v>1500</v>
      </c>
      <c r="K86" s="154">
        <f>5000+1500-5000</f>
        <v>1500</v>
      </c>
      <c r="L86" s="165"/>
      <c r="M86" s="264"/>
      <c r="N86" s="99">
        <f t="shared" si="13"/>
        <v>802</v>
      </c>
      <c r="O86" s="325">
        <v>802</v>
      </c>
      <c r="P86" s="451"/>
      <c r="Q86" s="200"/>
      <c r="R86" s="214"/>
    </row>
    <row r="87" spans="1:18" ht="12.75">
      <c r="A87" s="250">
        <v>15643</v>
      </c>
      <c r="B87" s="287">
        <v>3113</v>
      </c>
      <c r="C87" s="145" t="s">
        <v>42</v>
      </c>
      <c r="D87" s="104">
        <v>210</v>
      </c>
      <c r="E87" s="343" t="s">
        <v>216</v>
      </c>
      <c r="F87" s="102">
        <f t="shared" si="16"/>
        <v>0</v>
      </c>
      <c r="G87" s="69">
        <v>0</v>
      </c>
      <c r="H87" s="40"/>
      <c r="I87" s="84"/>
      <c r="J87" s="68">
        <f>SUM(K87:M87)</f>
        <v>37.8</v>
      </c>
      <c r="K87" s="152">
        <v>37.8</v>
      </c>
      <c r="L87" s="167"/>
      <c r="M87" s="175"/>
      <c r="N87" s="102">
        <f t="shared" si="13"/>
        <v>37.75</v>
      </c>
      <c r="O87" s="269">
        <v>37.75</v>
      </c>
      <c r="P87" s="315"/>
      <c r="Q87" s="301"/>
      <c r="R87" s="214"/>
    </row>
    <row r="88" spans="1:18" ht="13.5" thickBot="1">
      <c r="A88" s="141" t="s">
        <v>161</v>
      </c>
      <c r="B88" s="289">
        <v>3113</v>
      </c>
      <c r="C88" s="291" t="s">
        <v>42</v>
      </c>
      <c r="D88" s="106">
        <v>210</v>
      </c>
      <c r="E88" s="439" t="s">
        <v>140</v>
      </c>
      <c r="F88" s="137">
        <f aca="true" t="shared" si="17" ref="F88:F99">SUM(G88:I88)</f>
        <v>68000</v>
      </c>
      <c r="G88" s="150">
        <v>68000</v>
      </c>
      <c r="H88" s="112"/>
      <c r="I88" s="116"/>
      <c r="J88" s="530">
        <f>SUM(K88:M88)</f>
        <v>28666.199999999997</v>
      </c>
      <c r="K88" s="157">
        <f>68000-1022-1500-37.8-12500-9000-15000-100-174</f>
        <v>28666.199999999997</v>
      </c>
      <c r="L88" s="176"/>
      <c r="M88" s="259"/>
      <c r="N88" s="260">
        <f t="shared" si="13"/>
        <v>6909.34</v>
      </c>
      <c r="O88" s="156">
        <v>6909.34</v>
      </c>
      <c r="P88" s="292"/>
      <c r="Q88" s="261"/>
      <c r="R88" s="214"/>
    </row>
    <row r="89" spans="1:18" ht="12.75">
      <c r="A89" s="570" t="s">
        <v>162</v>
      </c>
      <c r="B89" s="534">
        <v>3113</v>
      </c>
      <c r="C89" s="535" t="s">
        <v>42</v>
      </c>
      <c r="D89" s="536">
        <v>10</v>
      </c>
      <c r="E89" s="455" t="s">
        <v>93</v>
      </c>
      <c r="F89" s="456">
        <f>SUM(G89:I89)</f>
        <v>0</v>
      </c>
      <c r="G89" s="457">
        <v>0</v>
      </c>
      <c r="H89" s="458"/>
      <c r="I89" s="459"/>
      <c r="J89" s="460">
        <f>SUM(K89:M89)</f>
        <v>0</v>
      </c>
      <c r="K89" s="458">
        <f>7000-17-6983</f>
        <v>0</v>
      </c>
      <c r="L89" s="461"/>
      <c r="M89" s="462"/>
      <c r="N89" s="537">
        <f t="shared" si="13"/>
        <v>0</v>
      </c>
      <c r="O89" s="457">
        <v>0</v>
      </c>
      <c r="P89" s="538"/>
      <c r="Q89" s="539"/>
      <c r="R89" s="214"/>
    </row>
    <row r="90" spans="1:18" ht="12.75">
      <c r="A90" s="140" t="s">
        <v>162</v>
      </c>
      <c r="B90" s="288">
        <v>3113</v>
      </c>
      <c r="C90" s="71" t="s">
        <v>42</v>
      </c>
      <c r="D90" s="105">
        <v>210</v>
      </c>
      <c r="E90" s="741" t="s">
        <v>93</v>
      </c>
      <c r="F90" s="102">
        <f t="shared" si="17"/>
        <v>75000</v>
      </c>
      <c r="G90" s="152">
        <v>75000</v>
      </c>
      <c r="H90" s="153"/>
      <c r="I90" s="84"/>
      <c r="J90" s="68">
        <f aca="true" t="shared" si="18" ref="J90:J99">SUM(K90:M90)</f>
        <v>0</v>
      </c>
      <c r="K90" s="153">
        <f>75000-3000-72000</f>
        <v>0</v>
      </c>
      <c r="L90" s="167"/>
      <c r="M90" s="175"/>
      <c r="N90" s="125">
        <f aca="true" t="shared" si="19" ref="N90:N99">SUM(O90:Q90)</f>
        <v>0</v>
      </c>
      <c r="O90" s="152">
        <v>0</v>
      </c>
      <c r="P90" s="161"/>
      <c r="Q90" s="205"/>
      <c r="R90" s="214"/>
    </row>
    <row r="91" spans="1:18" ht="12.75">
      <c r="A91" s="140" t="s">
        <v>214</v>
      </c>
      <c r="B91" s="290">
        <v>3113</v>
      </c>
      <c r="C91" s="293" t="s">
        <v>42</v>
      </c>
      <c r="D91" s="267">
        <v>10</v>
      </c>
      <c r="E91" s="343" t="s">
        <v>93</v>
      </c>
      <c r="F91" s="99">
        <f>SUM(G91:I91)</f>
        <v>0</v>
      </c>
      <c r="G91" s="154">
        <v>0</v>
      </c>
      <c r="H91" s="155"/>
      <c r="I91" s="87"/>
      <c r="J91" s="263">
        <f t="shared" si="18"/>
        <v>6983</v>
      </c>
      <c r="K91" s="155">
        <f>7000-17</f>
        <v>6983</v>
      </c>
      <c r="L91" s="165"/>
      <c r="M91" s="264"/>
      <c r="N91" s="531">
        <f t="shared" si="19"/>
        <v>18.15</v>
      </c>
      <c r="O91" s="154">
        <v>18.15</v>
      </c>
      <c r="P91" s="532"/>
      <c r="Q91" s="533"/>
      <c r="R91" s="214"/>
    </row>
    <row r="92" spans="1:18" ht="12.75">
      <c r="A92" s="140" t="s">
        <v>214</v>
      </c>
      <c r="B92" s="290">
        <v>3113</v>
      </c>
      <c r="C92" s="293" t="s">
        <v>42</v>
      </c>
      <c r="D92" s="267">
        <v>210</v>
      </c>
      <c r="E92" s="343" t="s">
        <v>93</v>
      </c>
      <c r="F92" s="99">
        <f>SUM(G92:I92)</f>
        <v>0</v>
      </c>
      <c r="G92" s="154">
        <v>0</v>
      </c>
      <c r="H92" s="155"/>
      <c r="I92" s="87"/>
      <c r="J92" s="263">
        <f>SUM(K92:M92)</f>
        <v>72000</v>
      </c>
      <c r="K92" s="155">
        <f>75000-3000</f>
        <v>72000</v>
      </c>
      <c r="L92" s="165"/>
      <c r="M92" s="264"/>
      <c r="N92" s="531">
        <f>SUM(O92:Q92)</f>
        <v>69526.76</v>
      </c>
      <c r="O92" s="154">
        <v>69526.76</v>
      </c>
      <c r="P92" s="532"/>
      <c r="Q92" s="533"/>
      <c r="R92" s="214"/>
    </row>
    <row r="93" spans="1:18" ht="13.5" thickBot="1">
      <c r="A93" s="578" t="s">
        <v>214</v>
      </c>
      <c r="B93" s="540">
        <v>3113</v>
      </c>
      <c r="C93" s="541" t="s">
        <v>42</v>
      </c>
      <c r="D93" s="542">
        <v>84</v>
      </c>
      <c r="E93" s="465" t="s">
        <v>93</v>
      </c>
      <c r="F93" s="543">
        <f>SUM(G93:I93)</f>
        <v>0</v>
      </c>
      <c r="G93" s="544">
        <v>0</v>
      </c>
      <c r="H93" s="545"/>
      <c r="I93" s="546"/>
      <c r="J93" s="547">
        <f t="shared" si="18"/>
        <v>17000</v>
      </c>
      <c r="K93" s="548">
        <v>17000</v>
      </c>
      <c r="L93" s="549"/>
      <c r="M93" s="550"/>
      <c r="N93" s="551">
        <f t="shared" si="19"/>
        <v>17000</v>
      </c>
      <c r="O93" s="552">
        <v>17000</v>
      </c>
      <c r="P93" s="553"/>
      <c r="Q93" s="554"/>
      <c r="R93" s="214"/>
    </row>
    <row r="94" spans="1:18" ht="12.75">
      <c r="A94" s="131" t="s">
        <v>204</v>
      </c>
      <c r="B94" s="290">
        <v>3113</v>
      </c>
      <c r="C94" s="293" t="s">
        <v>42</v>
      </c>
      <c r="D94" s="267">
        <v>210</v>
      </c>
      <c r="E94" s="332" t="s">
        <v>205</v>
      </c>
      <c r="F94" s="99">
        <f t="shared" si="17"/>
        <v>0</v>
      </c>
      <c r="G94" s="70">
        <v>0</v>
      </c>
      <c r="H94" s="47"/>
      <c r="I94" s="87"/>
      <c r="J94" s="263">
        <f t="shared" si="18"/>
        <v>22</v>
      </c>
      <c r="K94" s="155">
        <v>22</v>
      </c>
      <c r="L94" s="165"/>
      <c r="M94" s="264"/>
      <c r="N94" s="531">
        <f t="shared" si="19"/>
        <v>18</v>
      </c>
      <c r="O94" s="154">
        <v>18</v>
      </c>
      <c r="P94" s="532"/>
      <c r="Q94" s="533"/>
      <c r="R94" s="214"/>
    </row>
    <row r="95" spans="1:18" ht="12.75">
      <c r="A95" s="250">
        <v>19643</v>
      </c>
      <c r="B95" s="287">
        <v>3113</v>
      </c>
      <c r="C95" s="145" t="s">
        <v>42</v>
      </c>
      <c r="D95" s="104">
        <v>210</v>
      </c>
      <c r="E95" s="343" t="s">
        <v>263</v>
      </c>
      <c r="F95" s="102">
        <f t="shared" si="17"/>
        <v>0</v>
      </c>
      <c r="G95" s="69">
        <v>0</v>
      </c>
      <c r="H95" s="40"/>
      <c r="I95" s="84"/>
      <c r="J95" s="68">
        <f t="shared" si="18"/>
        <v>300</v>
      </c>
      <c r="K95" s="152">
        <v>300</v>
      </c>
      <c r="L95" s="167"/>
      <c r="M95" s="175"/>
      <c r="N95" s="102">
        <f t="shared" si="19"/>
        <v>0</v>
      </c>
      <c r="O95" s="269">
        <v>0</v>
      </c>
      <c r="P95" s="315"/>
      <c r="Q95" s="301"/>
      <c r="R95" s="214"/>
    </row>
    <row r="96" spans="1:18" ht="13.5" thickBot="1">
      <c r="A96" s="141" t="s">
        <v>163</v>
      </c>
      <c r="B96" s="289">
        <v>3113</v>
      </c>
      <c r="C96" s="291" t="s">
        <v>42</v>
      </c>
      <c r="D96" s="106">
        <v>210</v>
      </c>
      <c r="E96" s="439" t="s">
        <v>142</v>
      </c>
      <c r="F96" s="137">
        <f t="shared" si="17"/>
        <v>10000</v>
      </c>
      <c r="G96" s="150">
        <v>10000</v>
      </c>
      <c r="H96" s="112"/>
      <c r="I96" s="116"/>
      <c r="J96" s="530">
        <f t="shared" si="18"/>
        <v>17137</v>
      </c>
      <c r="K96" s="157">
        <f>10000+8500-900-463</f>
        <v>17137</v>
      </c>
      <c r="L96" s="176"/>
      <c r="M96" s="259"/>
      <c r="N96" s="260">
        <f t="shared" si="19"/>
        <v>9437.18</v>
      </c>
      <c r="O96" s="156">
        <v>9437.18</v>
      </c>
      <c r="P96" s="292"/>
      <c r="Q96" s="261"/>
      <c r="R96" s="214"/>
    </row>
    <row r="97" spans="1:18" ht="12.75">
      <c r="A97" s="691">
        <v>20625</v>
      </c>
      <c r="B97" s="452">
        <v>3113</v>
      </c>
      <c r="C97" s="453" t="s">
        <v>42</v>
      </c>
      <c r="D97" s="454">
        <v>10</v>
      </c>
      <c r="E97" s="556" t="s">
        <v>146</v>
      </c>
      <c r="F97" s="456">
        <f t="shared" si="17"/>
        <v>12000</v>
      </c>
      <c r="G97" s="457">
        <v>12000</v>
      </c>
      <c r="H97" s="458"/>
      <c r="I97" s="459"/>
      <c r="J97" s="460">
        <f t="shared" si="18"/>
        <v>11783</v>
      </c>
      <c r="K97" s="457">
        <f>12000-217</f>
        <v>11783</v>
      </c>
      <c r="L97" s="461"/>
      <c r="M97" s="462"/>
      <c r="N97" s="456">
        <f t="shared" si="19"/>
        <v>8148.97</v>
      </c>
      <c r="O97" s="641">
        <v>8148.97</v>
      </c>
      <c r="P97" s="463"/>
      <c r="Q97" s="464"/>
      <c r="R97" s="214"/>
    </row>
    <row r="98" spans="1:18" ht="13.5" thickBot="1">
      <c r="A98" s="695">
        <v>20625</v>
      </c>
      <c r="B98" s="557">
        <v>3113</v>
      </c>
      <c r="C98" s="558" t="s">
        <v>42</v>
      </c>
      <c r="D98" s="559">
        <v>210</v>
      </c>
      <c r="E98" s="560" t="s">
        <v>146</v>
      </c>
      <c r="F98" s="543">
        <f>SUM(G98:I98)</f>
        <v>0</v>
      </c>
      <c r="G98" s="544">
        <v>0</v>
      </c>
      <c r="H98" s="545"/>
      <c r="I98" s="546"/>
      <c r="J98" s="547">
        <f t="shared" si="18"/>
        <v>11000</v>
      </c>
      <c r="K98" s="552">
        <f>11000+4000-4000</f>
        <v>11000</v>
      </c>
      <c r="L98" s="549"/>
      <c r="M98" s="550"/>
      <c r="N98" s="543">
        <f t="shared" si="19"/>
        <v>11000</v>
      </c>
      <c r="O98" s="642">
        <v>11000</v>
      </c>
      <c r="P98" s="561"/>
      <c r="Q98" s="562"/>
      <c r="R98" s="214"/>
    </row>
    <row r="99" spans="1:18" ht="12.75">
      <c r="A99" s="555">
        <v>20627</v>
      </c>
      <c r="B99" s="286">
        <v>3113</v>
      </c>
      <c r="C99" s="262" t="s">
        <v>42</v>
      </c>
      <c r="D99" s="107">
        <v>210</v>
      </c>
      <c r="E99" s="343" t="s">
        <v>141</v>
      </c>
      <c r="F99" s="99">
        <f t="shared" si="17"/>
        <v>20000</v>
      </c>
      <c r="G99" s="70">
        <v>20000</v>
      </c>
      <c r="H99" s="47"/>
      <c r="I99" s="87"/>
      <c r="J99" s="263">
        <f t="shared" si="18"/>
        <v>16500</v>
      </c>
      <c r="K99" s="154">
        <f>20000+4500+2000-10000</f>
        <v>16500</v>
      </c>
      <c r="L99" s="165"/>
      <c r="M99" s="264"/>
      <c r="N99" s="99">
        <f t="shared" si="19"/>
        <v>10768.39</v>
      </c>
      <c r="O99" s="325">
        <v>10768.39</v>
      </c>
      <c r="P99" s="451"/>
      <c r="Q99" s="200"/>
      <c r="R99" s="214"/>
    </row>
    <row r="100" spans="1:18" ht="12.75" customHeight="1">
      <c r="A100" s="250">
        <v>20643</v>
      </c>
      <c r="B100" s="287">
        <v>3113</v>
      </c>
      <c r="C100" s="145" t="s">
        <v>42</v>
      </c>
      <c r="D100" s="104">
        <v>210</v>
      </c>
      <c r="E100" s="343" t="s">
        <v>143</v>
      </c>
      <c r="F100" s="102">
        <f aca="true" t="shared" si="20" ref="F100:F126">SUM(G100:I100)</f>
        <v>200</v>
      </c>
      <c r="G100" s="69">
        <v>200</v>
      </c>
      <c r="H100" s="40"/>
      <c r="I100" s="84"/>
      <c r="J100" s="68">
        <f aca="true" t="shared" si="21" ref="J100:J109">SUM(K100:M100)</f>
        <v>200</v>
      </c>
      <c r="K100" s="69">
        <v>200</v>
      </c>
      <c r="L100" s="167"/>
      <c r="M100" s="175"/>
      <c r="N100" s="102">
        <f aca="true" t="shared" si="22" ref="N100:N126">SUM(O100:Q100)</f>
        <v>14.8</v>
      </c>
      <c r="O100" s="269">
        <v>14.8</v>
      </c>
      <c r="P100" s="315"/>
      <c r="Q100" s="301"/>
      <c r="R100" s="214"/>
    </row>
    <row r="101" spans="1:18" ht="24">
      <c r="A101" s="250">
        <v>20644</v>
      </c>
      <c r="B101" s="287">
        <v>3113</v>
      </c>
      <c r="C101" s="145" t="s">
        <v>42</v>
      </c>
      <c r="D101" s="104">
        <v>210</v>
      </c>
      <c r="E101" s="363" t="s">
        <v>147</v>
      </c>
      <c r="F101" s="102">
        <f t="shared" si="20"/>
        <v>1000</v>
      </c>
      <c r="G101" s="152">
        <v>1000</v>
      </c>
      <c r="H101" s="153"/>
      <c r="I101" s="84"/>
      <c r="J101" s="68">
        <f t="shared" si="21"/>
        <v>400</v>
      </c>
      <c r="K101" s="152">
        <f>1000+2000-2600</f>
        <v>400</v>
      </c>
      <c r="L101" s="167"/>
      <c r="M101" s="175"/>
      <c r="N101" s="102">
        <f t="shared" si="22"/>
        <v>71.39</v>
      </c>
      <c r="O101" s="269">
        <v>71.39</v>
      </c>
      <c r="P101" s="315"/>
      <c r="Q101" s="301"/>
      <c r="R101" s="214"/>
    </row>
    <row r="102" spans="1:18" ht="12.75">
      <c r="A102" s="250">
        <v>21606</v>
      </c>
      <c r="B102" s="287">
        <v>3113</v>
      </c>
      <c r="C102" s="145" t="s">
        <v>42</v>
      </c>
      <c r="D102" s="104">
        <v>210</v>
      </c>
      <c r="E102" s="343" t="s">
        <v>148</v>
      </c>
      <c r="F102" s="102">
        <f t="shared" si="20"/>
        <v>1000</v>
      </c>
      <c r="G102" s="152">
        <v>1000</v>
      </c>
      <c r="H102" s="153"/>
      <c r="I102" s="84"/>
      <c r="J102" s="68">
        <f t="shared" si="21"/>
        <v>2700</v>
      </c>
      <c r="K102" s="152">
        <f>1000+1700</f>
        <v>2700</v>
      </c>
      <c r="L102" s="167"/>
      <c r="M102" s="175"/>
      <c r="N102" s="102">
        <f t="shared" si="22"/>
        <v>2067.84</v>
      </c>
      <c r="O102" s="269">
        <v>2067.84</v>
      </c>
      <c r="P102" s="315"/>
      <c r="Q102" s="301"/>
      <c r="R102" s="214"/>
    </row>
    <row r="103" spans="1:18" ht="12.75">
      <c r="A103" s="362" t="s">
        <v>164</v>
      </c>
      <c r="B103" s="287">
        <v>3113</v>
      </c>
      <c r="C103" s="145" t="s">
        <v>42</v>
      </c>
      <c r="D103" s="104">
        <v>210</v>
      </c>
      <c r="E103" s="344" t="s">
        <v>144</v>
      </c>
      <c r="F103" s="102">
        <f t="shared" si="20"/>
        <v>500</v>
      </c>
      <c r="G103" s="152">
        <v>500</v>
      </c>
      <c r="H103" s="153"/>
      <c r="I103" s="84"/>
      <c r="J103" s="68">
        <f t="shared" si="21"/>
        <v>500</v>
      </c>
      <c r="K103" s="152">
        <v>500</v>
      </c>
      <c r="L103" s="167"/>
      <c r="M103" s="175"/>
      <c r="N103" s="102">
        <f t="shared" si="22"/>
        <v>0</v>
      </c>
      <c r="O103" s="269">
        <v>0</v>
      </c>
      <c r="P103" s="315"/>
      <c r="Q103" s="301"/>
      <c r="R103" s="214"/>
    </row>
    <row r="104" spans="1:18" ht="12.75">
      <c r="A104" s="231" t="s">
        <v>97</v>
      </c>
      <c r="B104" s="287">
        <v>3113</v>
      </c>
      <c r="C104" s="145" t="s">
        <v>42</v>
      </c>
      <c r="D104" s="104">
        <v>210</v>
      </c>
      <c r="E104" s="343" t="s">
        <v>149</v>
      </c>
      <c r="F104" s="102">
        <f t="shared" si="20"/>
        <v>1000</v>
      </c>
      <c r="G104" s="69">
        <v>1000</v>
      </c>
      <c r="H104" s="40"/>
      <c r="I104" s="84"/>
      <c r="J104" s="68">
        <f t="shared" si="21"/>
        <v>8000</v>
      </c>
      <c r="K104" s="152">
        <f>1000+7000</f>
        <v>8000</v>
      </c>
      <c r="L104" s="167"/>
      <c r="M104" s="175"/>
      <c r="N104" s="102">
        <f t="shared" si="22"/>
        <v>6456.04</v>
      </c>
      <c r="O104" s="269">
        <v>6456.04</v>
      </c>
      <c r="P104" s="315"/>
      <c r="Q104" s="301"/>
      <c r="R104" s="214"/>
    </row>
    <row r="105" spans="1:18" ht="12.75">
      <c r="A105" s="250">
        <v>21628</v>
      </c>
      <c r="B105" s="287">
        <v>3113</v>
      </c>
      <c r="C105" s="145" t="s">
        <v>42</v>
      </c>
      <c r="D105" s="104">
        <v>210</v>
      </c>
      <c r="E105" s="343" t="s">
        <v>150</v>
      </c>
      <c r="F105" s="102">
        <f t="shared" si="20"/>
        <v>1000</v>
      </c>
      <c r="G105" s="69">
        <v>1000</v>
      </c>
      <c r="H105" s="40"/>
      <c r="I105" s="84"/>
      <c r="J105" s="68">
        <f t="shared" si="21"/>
        <v>500</v>
      </c>
      <c r="K105" s="152">
        <f>1000-500</f>
        <v>500</v>
      </c>
      <c r="L105" s="167"/>
      <c r="M105" s="175"/>
      <c r="N105" s="125">
        <f t="shared" si="22"/>
        <v>128.47</v>
      </c>
      <c r="O105" s="158">
        <v>128.47</v>
      </c>
      <c r="P105" s="236"/>
      <c r="Q105" s="202"/>
      <c r="R105" s="214"/>
    </row>
    <row r="106" spans="1:18" ht="12.75">
      <c r="A106" s="250">
        <v>21629</v>
      </c>
      <c r="B106" s="287">
        <v>3113</v>
      </c>
      <c r="C106" s="145" t="s">
        <v>42</v>
      </c>
      <c r="D106" s="104">
        <v>210</v>
      </c>
      <c r="E106" s="343" t="s">
        <v>151</v>
      </c>
      <c r="F106" s="102">
        <f t="shared" si="20"/>
        <v>1000</v>
      </c>
      <c r="G106" s="152">
        <v>1000</v>
      </c>
      <c r="H106" s="153"/>
      <c r="I106" s="84"/>
      <c r="J106" s="68">
        <f t="shared" si="21"/>
        <v>4300</v>
      </c>
      <c r="K106" s="152">
        <f>1000+4000-700</f>
        <v>4300</v>
      </c>
      <c r="L106" s="167"/>
      <c r="M106" s="175"/>
      <c r="N106" s="125">
        <f t="shared" si="22"/>
        <v>4164.64</v>
      </c>
      <c r="O106" s="158">
        <v>4164.64</v>
      </c>
      <c r="P106" s="236"/>
      <c r="Q106" s="202"/>
      <c r="R106" s="214"/>
    </row>
    <row r="107" spans="1:18" ht="12.75">
      <c r="A107" s="250">
        <v>22612</v>
      </c>
      <c r="B107" s="287">
        <v>3113</v>
      </c>
      <c r="C107" s="145" t="s">
        <v>42</v>
      </c>
      <c r="D107" s="104">
        <v>210</v>
      </c>
      <c r="E107" s="343" t="s">
        <v>152</v>
      </c>
      <c r="F107" s="102">
        <f t="shared" si="20"/>
        <v>500</v>
      </c>
      <c r="G107" s="152">
        <v>500</v>
      </c>
      <c r="H107" s="153"/>
      <c r="I107" s="84"/>
      <c r="J107" s="68">
        <f t="shared" si="21"/>
        <v>5500</v>
      </c>
      <c r="K107" s="152">
        <f>500+5000</f>
        <v>5500</v>
      </c>
      <c r="L107" s="167"/>
      <c r="M107" s="175"/>
      <c r="N107" s="125">
        <f t="shared" si="22"/>
        <v>5428.18</v>
      </c>
      <c r="O107" s="158">
        <v>5428.18</v>
      </c>
      <c r="P107" s="236"/>
      <c r="Q107" s="202"/>
      <c r="R107" s="214"/>
    </row>
    <row r="108" spans="1:18" s="133" customFormat="1" ht="12.75">
      <c r="A108" s="140" t="s">
        <v>165</v>
      </c>
      <c r="B108" s="288">
        <v>3113</v>
      </c>
      <c r="C108" s="64" t="s">
        <v>42</v>
      </c>
      <c r="D108" s="330">
        <v>210</v>
      </c>
      <c r="E108" s="343" t="s">
        <v>153</v>
      </c>
      <c r="F108" s="102">
        <f t="shared" si="20"/>
        <v>200</v>
      </c>
      <c r="G108" s="158">
        <v>200</v>
      </c>
      <c r="H108" s="167"/>
      <c r="I108" s="202"/>
      <c r="J108" s="68">
        <f t="shared" si="21"/>
        <v>400</v>
      </c>
      <c r="K108" s="158">
        <f>200+200</f>
        <v>400</v>
      </c>
      <c r="L108" s="167"/>
      <c r="M108" s="175"/>
      <c r="N108" s="125">
        <f t="shared" si="22"/>
        <v>0</v>
      </c>
      <c r="O108" s="158">
        <v>0</v>
      </c>
      <c r="P108" s="236"/>
      <c r="Q108" s="202"/>
      <c r="R108" s="214"/>
    </row>
    <row r="109" spans="1:18" s="133" customFormat="1" ht="12.75">
      <c r="A109" s="231" t="s">
        <v>166</v>
      </c>
      <c r="B109" s="287">
        <v>3113</v>
      </c>
      <c r="C109" s="67" t="s">
        <v>42</v>
      </c>
      <c r="D109" s="104">
        <v>210</v>
      </c>
      <c r="E109" s="343" t="s">
        <v>154</v>
      </c>
      <c r="F109" s="102">
        <f t="shared" si="20"/>
        <v>200</v>
      </c>
      <c r="G109" s="152">
        <v>200</v>
      </c>
      <c r="H109" s="153"/>
      <c r="I109" s="84"/>
      <c r="J109" s="68">
        <f t="shared" si="21"/>
        <v>300</v>
      </c>
      <c r="K109" s="152">
        <f>200+100</f>
        <v>300</v>
      </c>
      <c r="L109" s="167"/>
      <c r="M109" s="175"/>
      <c r="N109" s="125">
        <f t="shared" si="22"/>
        <v>235.83</v>
      </c>
      <c r="O109" s="158">
        <v>235.83</v>
      </c>
      <c r="P109" s="236"/>
      <c r="Q109" s="202"/>
      <c r="R109" s="214"/>
    </row>
    <row r="110" spans="1:18" s="133" customFormat="1" ht="12.75">
      <c r="A110" s="231" t="s">
        <v>167</v>
      </c>
      <c r="B110" s="287">
        <v>3113</v>
      </c>
      <c r="C110" s="67" t="s">
        <v>42</v>
      </c>
      <c r="D110" s="104">
        <v>210</v>
      </c>
      <c r="E110" s="343" t="s">
        <v>155</v>
      </c>
      <c r="F110" s="102">
        <f t="shared" si="20"/>
        <v>2000</v>
      </c>
      <c r="G110" s="69">
        <v>2000</v>
      </c>
      <c r="H110" s="40"/>
      <c r="I110" s="84"/>
      <c r="J110" s="68">
        <f aca="true" t="shared" si="23" ref="J110:J126">SUM(K110:M110)</f>
        <v>1000</v>
      </c>
      <c r="K110" s="152">
        <f>2000-1000</f>
        <v>1000</v>
      </c>
      <c r="L110" s="167"/>
      <c r="M110" s="175"/>
      <c r="N110" s="125">
        <f t="shared" si="22"/>
        <v>97</v>
      </c>
      <c r="O110" s="158">
        <v>97</v>
      </c>
      <c r="P110" s="236"/>
      <c r="Q110" s="202"/>
      <c r="R110" s="214"/>
    </row>
    <row r="111" spans="1:18" s="133" customFormat="1" ht="12.75">
      <c r="A111" s="231" t="s">
        <v>217</v>
      </c>
      <c r="B111" s="287">
        <v>3113</v>
      </c>
      <c r="C111" s="67" t="s">
        <v>42</v>
      </c>
      <c r="D111" s="104">
        <v>210</v>
      </c>
      <c r="E111" s="337" t="s">
        <v>218</v>
      </c>
      <c r="F111" s="102">
        <f aca="true" t="shared" si="24" ref="F111:F116">SUM(G111:I111)</f>
        <v>0</v>
      </c>
      <c r="G111" s="69">
        <v>0</v>
      </c>
      <c r="H111" s="40"/>
      <c r="I111" s="84"/>
      <c r="J111" s="68">
        <f t="shared" si="23"/>
        <v>1800</v>
      </c>
      <c r="K111" s="152">
        <f>300+1500</f>
        <v>1800</v>
      </c>
      <c r="L111" s="167"/>
      <c r="M111" s="175"/>
      <c r="N111" s="125">
        <f t="shared" si="22"/>
        <v>777.88</v>
      </c>
      <c r="O111" s="158">
        <v>777.88</v>
      </c>
      <c r="P111" s="236"/>
      <c r="Q111" s="202"/>
      <c r="R111" s="214"/>
    </row>
    <row r="112" spans="1:18" s="133" customFormat="1" ht="12.75">
      <c r="A112" s="231" t="s">
        <v>222</v>
      </c>
      <c r="B112" s="287">
        <v>3113</v>
      </c>
      <c r="C112" s="67" t="s">
        <v>42</v>
      </c>
      <c r="D112" s="104"/>
      <c r="E112" s="337" t="s">
        <v>224</v>
      </c>
      <c r="F112" s="102">
        <f t="shared" si="24"/>
        <v>0</v>
      </c>
      <c r="G112" s="69">
        <v>0</v>
      </c>
      <c r="H112" s="40"/>
      <c r="I112" s="84"/>
      <c r="J112" s="68">
        <f t="shared" si="23"/>
        <v>0</v>
      </c>
      <c r="K112" s="152">
        <f>15000-15000</f>
        <v>0</v>
      </c>
      <c r="L112" s="167"/>
      <c r="M112" s="175"/>
      <c r="N112" s="125">
        <f t="shared" si="22"/>
        <v>0</v>
      </c>
      <c r="O112" s="158">
        <v>0</v>
      </c>
      <c r="P112" s="236"/>
      <c r="Q112" s="202"/>
      <c r="R112" s="214"/>
    </row>
    <row r="113" spans="1:18" s="133" customFormat="1" ht="13.5" thickBot="1">
      <c r="A113" s="675">
        <v>22643</v>
      </c>
      <c r="B113" s="676">
        <v>3113</v>
      </c>
      <c r="C113" s="677" t="s">
        <v>42</v>
      </c>
      <c r="D113" s="258">
        <v>210</v>
      </c>
      <c r="E113" s="313" t="s">
        <v>248</v>
      </c>
      <c r="F113" s="137">
        <f t="shared" si="24"/>
        <v>0</v>
      </c>
      <c r="G113" s="150">
        <v>0</v>
      </c>
      <c r="H113" s="112"/>
      <c r="I113" s="116"/>
      <c r="J113" s="530">
        <f t="shared" si="23"/>
        <v>200</v>
      </c>
      <c r="K113" s="150">
        <v>200</v>
      </c>
      <c r="L113" s="176"/>
      <c r="M113" s="259"/>
      <c r="N113" s="260">
        <f>SUM(O113:Q113)</f>
        <v>41.1</v>
      </c>
      <c r="O113" s="159">
        <v>41.1</v>
      </c>
      <c r="P113" s="678"/>
      <c r="Q113" s="261"/>
      <c r="R113" s="214"/>
    </row>
    <row r="114" spans="1:18" s="133" customFormat="1" ht="12.75">
      <c r="A114" s="570" t="s">
        <v>250</v>
      </c>
      <c r="B114" s="534">
        <v>3113</v>
      </c>
      <c r="C114" s="535" t="s">
        <v>42</v>
      </c>
      <c r="D114" s="536">
        <v>10</v>
      </c>
      <c r="E114" s="512" t="s">
        <v>249</v>
      </c>
      <c r="F114" s="456">
        <f t="shared" si="24"/>
        <v>0</v>
      </c>
      <c r="G114" s="457">
        <v>0</v>
      </c>
      <c r="H114" s="458"/>
      <c r="I114" s="459"/>
      <c r="J114" s="460">
        <f t="shared" si="23"/>
        <v>2000</v>
      </c>
      <c r="K114" s="458">
        <v>2000</v>
      </c>
      <c r="L114" s="461"/>
      <c r="M114" s="462"/>
      <c r="N114" s="537">
        <f>SUM(O114:Q114)</f>
        <v>2000</v>
      </c>
      <c r="O114" s="457">
        <v>2000</v>
      </c>
      <c r="P114" s="538"/>
      <c r="Q114" s="539"/>
      <c r="R114" s="214"/>
    </row>
    <row r="115" spans="1:18" s="133" customFormat="1" ht="13.5" thickBot="1">
      <c r="A115" s="569" t="s">
        <v>250</v>
      </c>
      <c r="B115" s="540">
        <v>3113</v>
      </c>
      <c r="C115" s="541" t="s">
        <v>42</v>
      </c>
      <c r="D115" s="542">
        <v>210</v>
      </c>
      <c r="E115" s="680" t="s">
        <v>249</v>
      </c>
      <c r="F115" s="543">
        <f t="shared" si="24"/>
        <v>0</v>
      </c>
      <c r="G115" s="544">
        <v>0</v>
      </c>
      <c r="H115" s="545"/>
      <c r="I115" s="546"/>
      <c r="J115" s="547">
        <f t="shared" si="23"/>
        <v>3863</v>
      </c>
      <c r="K115" s="548">
        <f>4000-137</f>
        <v>3863</v>
      </c>
      <c r="L115" s="549"/>
      <c r="M115" s="550"/>
      <c r="N115" s="551">
        <f>SUM(O115:Q115)</f>
        <v>2558.42</v>
      </c>
      <c r="O115" s="552">
        <v>2558.42</v>
      </c>
      <c r="P115" s="553"/>
      <c r="Q115" s="554"/>
      <c r="R115" s="214"/>
    </row>
    <row r="116" spans="1:18" s="133" customFormat="1" ht="13.5" thickBot="1">
      <c r="A116" s="699" t="s">
        <v>215</v>
      </c>
      <c r="B116" s="700">
        <v>3113</v>
      </c>
      <c r="C116" s="701" t="s">
        <v>42</v>
      </c>
      <c r="D116" s="294">
        <v>210</v>
      </c>
      <c r="E116" s="313" t="s">
        <v>223</v>
      </c>
      <c r="F116" s="221">
        <f t="shared" si="24"/>
        <v>0</v>
      </c>
      <c r="G116" s="266"/>
      <c r="H116" s="196"/>
      <c r="I116" s="118">
        <v>0</v>
      </c>
      <c r="J116" s="302">
        <f t="shared" si="23"/>
        <v>5500</v>
      </c>
      <c r="K116" s="266"/>
      <c r="L116" s="166"/>
      <c r="M116" s="303">
        <v>5500</v>
      </c>
      <c r="N116" s="304">
        <f t="shared" si="22"/>
        <v>5500</v>
      </c>
      <c r="O116" s="702"/>
      <c r="P116" s="703"/>
      <c r="Q116" s="698">
        <v>5500</v>
      </c>
      <c r="R116" s="214"/>
    </row>
    <row r="117" spans="1:18" s="133" customFormat="1" ht="12.75">
      <c r="A117" s="751" t="s">
        <v>215</v>
      </c>
      <c r="B117" s="452">
        <v>3113</v>
      </c>
      <c r="C117" s="535" t="s">
        <v>42</v>
      </c>
      <c r="D117" s="454"/>
      <c r="E117" s="512" t="s">
        <v>283</v>
      </c>
      <c r="F117" s="456">
        <f aca="true" t="shared" si="25" ref="F117:F123">SUM(G117:I117)</f>
        <v>0</v>
      </c>
      <c r="G117" s="457"/>
      <c r="H117" s="458"/>
      <c r="I117" s="459">
        <v>0</v>
      </c>
      <c r="J117" s="460">
        <f t="shared" si="23"/>
        <v>56.6</v>
      </c>
      <c r="K117" s="457"/>
      <c r="L117" s="461"/>
      <c r="M117" s="462">
        <f>56.6</f>
        <v>56.6</v>
      </c>
      <c r="N117" s="537">
        <f aca="true" t="shared" si="26" ref="N117:N123">SUM(O117:Q117)</f>
        <v>0.03</v>
      </c>
      <c r="O117" s="516"/>
      <c r="P117" s="564"/>
      <c r="Q117" s="565">
        <v>0.03</v>
      </c>
      <c r="R117" s="214"/>
    </row>
    <row r="118" spans="1:18" s="133" customFormat="1" ht="12.75">
      <c r="A118" s="231" t="s">
        <v>215</v>
      </c>
      <c r="B118" s="287">
        <v>3113</v>
      </c>
      <c r="C118" s="71" t="s">
        <v>42</v>
      </c>
      <c r="D118" s="104"/>
      <c r="E118" s="220" t="s">
        <v>300</v>
      </c>
      <c r="F118" s="99">
        <f t="shared" si="25"/>
        <v>0</v>
      </c>
      <c r="G118" s="154"/>
      <c r="H118" s="155"/>
      <c r="I118" s="87">
        <v>0</v>
      </c>
      <c r="J118" s="263">
        <f aca="true" t="shared" si="27" ref="J118:J123">SUM(K118:M118)</f>
        <v>60</v>
      </c>
      <c r="K118" s="154"/>
      <c r="L118" s="165"/>
      <c r="M118" s="264">
        <v>60</v>
      </c>
      <c r="N118" s="531">
        <f t="shared" si="26"/>
        <v>60.03</v>
      </c>
      <c r="O118" s="160"/>
      <c r="P118" s="265"/>
      <c r="Q118" s="195">
        <v>60.03</v>
      </c>
      <c r="R118" s="214"/>
    </row>
    <row r="119" spans="1:18" s="133" customFormat="1" ht="12.75">
      <c r="A119" s="231" t="s">
        <v>215</v>
      </c>
      <c r="B119" s="287">
        <v>3113</v>
      </c>
      <c r="C119" s="71" t="s">
        <v>42</v>
      </c>
      <c r="D119" s="104">
        <v>10</v>
      </c>
      <c r="E119" s="246" t="s">
        <v>296</v>
      </c>
      <c r="F119" s="102">
        <f t="shared" si="25"/>
        <v>0</v>
      </c>
      <c r="G119" s="152"/>
      <c r="H119" s="153"/>
      <c r="I119" s="84">
        <v>0</v>
      </c>
      <c r="J119" s="68">
        <f t="shared" si="27"/>
        <v>56.6</v>
      </c>
      <c r="K119" s="152"/>
      <c r="L119" s="167"/>
      <c r="M119" s="175">
        <f>56.6</f>
        <v>56.6</v>
      </c>
      <c r="N119" s="125">
        <f t="shared" si="26"/>
        <v>56.6</v>
      </c>
      <c r="O119" s="158"/>
      <c r="P119" s="236"/>
      <c r="Q119" s="202">
        <v>56.6</v>
      </c>
      <c r="R119" s="214"/>
    </row>
    <row r="120" spans="1:18" s="133" customFormat="1" ht="12.75">
      <c r="A120" s="679" t="s">
        <v>215</v>
      </c>
      <c r="B120" s="286">
        <v>3113</v>
      </c>
      <c r="C120" s="293" t="s">
        <v>42</v>
      </c>
      <c r="D120" s="107">
        <v>10</v>
      </c>
      <c r="E120" s="337" t="s">
        <v>295</v>
      </c>
      <c r="F120" s="99">
        <f t="shared" si="25"/>
        <v>0</v>
      </c>
      <c r="G120" s="70"/>
      <c r="H120" s="47"/>
      <c r="I120" s="87">
        <v>0</v>
      </c>
      <c r="J120" s="263">
        <f t="shared" si="27"/>
        <v>100</v>
      </c>
      <c r="K120" s="154"/>
      <c r="L120" s="165"/>
      <c r="M120" s="264">
        <v>100</v>
      </c>
      <c r="N120" s="531">
        <f t="shared" si="26"/>
        <v>100</v>
      </c>
      <c r="O120" s="160"/>
      <c r="P120" s="265"/>
      <c r="Q120" s="195">
        <v>100</v>
      </c>
      <c r="R120" s="214"/>
    </row>
    <row r="121" spans="1:18" s="133" customFormat="1" ht="12.75">
      <c r="A121" s="679" t="s">
        <v>215</v>
      </c>
      <c r="B121" s="286">
        <v>3113</v>
      </c>
      <c r="C121" s="293" t="s">
        <v>42</v>
      </c>
      <c r="D121" s="107">
        <v>10</v>
      </c>
      <c r="E121" s="337" t="s">
        <v>297</v>
      </c>
      <c r="F121" s="99">
        <f t="shared" si="25"/>
        <v>0</v>
      </c>
      <c r="G121" s="70"/>
      <c r="H121" s="47"/>
      <c r="I121" s="87">
        <v>0</v>
      </c>
      <c r="J121" s="263">
        <f t="shared" si="27"/>
        <v>82.7</v>
      </c>
      <c r="K121" s="154"/>
      <c r="L121" s="165"/>
      <c r="M121" s="264">
        <f>129-46.3</f>
        <v>82.7</v>
      </c>
      <c r="N121" s="531">
        <f t="shared" si="26"/>
        <v>82.7</v>
      </c>
      <c r="O121" s="160"/>
      <c r="P121" s="265"/>
      <c r="Q121" s="195">
        <v>82.7</v>
      </c>
      <c r="R121" s="214"/>
    </row>
    <row r="122" spans="1:18" s="133" customFormat="1" ht="12.75">
      <c r="A122" s="679" t="s">
        <v>215</v>
      </c>
      <c r="B122" s="286">
        <v>3113</v>
      </c>
      <c r="C122" s="293" t="s">
        <v>42</v>
      </c>
      <c r="D122" s="107">
        <v>10</v>
      </c>
      <c r="E122" s="337" t="s">
        <v>298</v>
      </c>
      <c r="F122" s="99">
        <f t="shared" si="25"/>
        <v>0</v>
      </c>
      <c r="G122" s="70"/>
      <c r="H122" s="47"/>
      <c r="I122" s="87">
        <v>0</v>
      </c>
      <c r="J122" s="263">
        <f t="shared" si="27"/>
        <v>50</v>
      </c>
      <c r="K122" s="154"/>
      <c r="L122" s="165"/>
      <c r="M122" s="264">
        <v>50</v>
      </c>
      <c r="N122" s="531">
        <f t="shared" si="26"/>
        <v>50</v>
      </c>
      <c r="O122" s="160"/>
      <c r="P122" s="265"/>
      <c r="Q122" s="195">
        <v>50</v>
      </c>
      <c r="R122" s="214"/>
    </row>
    <row r="123" spans="1:18" s="133" customFormat="1" ht="12.75">
      <c r="A123" s="679" t="s">
        <v>215</v>
      </c>
      <c r="B123" s="286">
        <v>3113</v>
      </c>
      <c r="C123" s="293" t="s">
        <v>42</v>
      </c>
      <c r="D123" s="107">
        <v>137</v>
      </c>
      <c r="E123" s="337" t="s">
        <v>301</v>
      </c>
      <c r="F123" s="102">
        <f t="shared" si="25"/>
        <v>0</v>
      </c>
      <c r="G123" s="69"/>
      <c r="H123" s="40"/>
      <c r="I123" s="84">
        <v>0</v>
      </c>
      <c r="J123" s="68">
        <f t="shared" si="27"/>
        <v>599</v>
      </c>
      <c r="K123" s="152"/>
      <c r="L123" s="167"/>
      <c r="M123" s="175">
        <v>599</v>
      </c>
      <c r="N123" s="125">
        <f t="shared" si="26"/>
        <v>599</v>
      </c>
      <c r="O123" s="158"/>
      <c r="P123" s="236"/>
      <c r="Q123" s="205">
        <v>599</v>
      </c>
      <c r="R123" s="214"/>
    </row>
    <row r="124" spans="1:18" s="133" customFormat="1" ht="12.75">
      <c r="A124" s="679" t="s">
        <v>308</v>
      </c>
      <c r="B124" s="286">
        <v>3113</v>
      </c>
      <c r="C124" s="293" t="s">
        <v>42</v>
      </c>
      <c r="D124" s="107">
        <v>33504</v>
      </c>
      <c r="E124" s="337" t="s">
        <v>309</v>
      </c>
      <c r="F124" s="102">
        <f>SUM(G124:I124)</f>
        <v>0</v>
      </c>
      <c r="G124" s="69"/>
      <c r="H124" s="40"/>
      <c r="I124" s="84">
        <v>0</v>
      </c>
      <c r="J124" s="68">
        <f>SUM(K124:M124)</f>
        <v>90</v>
      </c>
      <c r="K124" s="152"/>
      <c r="L124" s="167"/>
      <c r="M124" s="175">
        <v>90</v>
      </c>
      <c r="N124" s="125">
        <f>SUM(O124:Q124)</f>
        <v>90</v>
      </c>
      <c r="O124" s="158"/>
      <c r="P124" s="236"/>
      <c r="Q124" s="205">
        <v>90</v>
      </c>
      <c r="R124" s="214"/>
    </row>
    <row r="125" spans="1:20" ht="12.75">
      <c r="A125" s="250">
        <v>21608</v>
      </c>
      <c r="B125" s="287">
        <v>3141</v>
      </c>
      <c r="C125" s="145" t="s">
        <v>42</v>
      </c>
      <c r="D125" s="104">
        <v>210</v>
      </c>
      <c r="E125" s="343" t="s">
        <v>156</v>
      </c>
      <c r="F125" s="102">
        <f t="shared" si="20"/>
        <v>12000</v>
      </c>
      <c r="G125" s="69">
        <v>12000</v>
      </c>
      <c r="H125" s="40"/>
      <c r="I125" s="84"/>
      <c r="J125" s="68">
        <f t="shared" si="23"/>
        <v>1000</v>
      </c>
      <c r="K125" s="152">
        <f>12000-10500-500</f>
        <v>1000</v>
      </c>
      <c r="L125" s="167"/>
      <c r="M125" s="175"/>
      <c r="N125" s="125">
        <f t="shared" si="22"/>
        <v>474.83</v>
      </c>
      <c r="O125" s="158">
        <v>474.83</v>
      </c>
      <c r="P125" s="236"/>
      <c r="Q125" s="205"/>
      <c r="R125" s="214"/>
      <c r="S125" s="133"/>
      <c r="T125" s="133"/>
    </row>
    <row r="126" spans="1:18" ht="12.75">
      <c r="A126" s="250">
        <v>22616</v>
      </c>
      <c r="B126" s="287">
        <v>3141</v>
      </c>
      <c r="C126" s="145" t="s">
        <v>42</v>
      </c>
      <c r="D126" s="104">
        <v>210</v>
      </c>
      <c r="E126" s="343" t="s">
        <v>157</v>
      </c>
      <c r="F126" s="102">
        <f t="shared" si="20"/>
        <v>24000</v>
      </c>
      <c r="G126" s="69">
        <v>24000</v>
      </c>
      <c r="H126" s="40"/>
      <c r="I126" s="84"/>
      <c r="J126" s="68">
        <f t="shared" si="23"/>
        <v>0</v>
      </c>
      <c r="K126" s="69">
        <f>24000-11500-11000-1500</f>
        <v>0</v>
      </c>
      <c r="L126" s="167"/>
      <c r="M126" s="175"/>
      <c r="N126" s="125">
        <f t="shared" si="22"/>
        <v>0</v>
      </c>
      <c r="O126" s="158">
        <v>0</v>
      </c>
      <c r="P126" s="236"/>
      <c r="Q126" s="205"/>
      <c r="R126" s="214"/>
    </row>
    <row r="127" spans="1:18" ht="12" customHeight="1">
      <c r="A127" s="140" t="s">
        <v>271</v>
      </c>
      <c r="B127" s="288">
        <v>3419</v>
      </c>
      <c r="C127" s="71" t="s">
        <v>272</v>
      </c>
      <c r="D127" s="105">
        <v>10</v>
      </c>
      <c r="E127" s="337" t="s">
        <v>273</v>
      </c>
      <c r="F127" s="102">
        <f>SUM(G127:I127)</f>
        <v>0</v>
      </c>
      <c r="G127" s="69"/>
      <c r="H127" s="40"/>
      <c r="I127" s="84">
        <v>0</v>
      </c>
      <c r="J127" s="68">
        <f>SUM(K127:M127)</f>
        <v>500</v>
      </c>
      <c r="K127" s="153"/>
      <c r="L127" s="167"/>
      <c r="M127" s="175">
        <v>500</v>
      </c>
      <c r="N127" s="125">
        <f>SUM(O127:Q127)</f>
        <v>500</v>
      </c>
      <c r="O127" s="152"/>
      <c r="P127" s="161"/>
      <c r="Q127" s="175">
        <v>500</v>
      </c>
      <c r="R127" s="214"/>
    </row>
    <row r="128" spans="1:18" ht="12" customHeight="1">
      <c r="A128" s="140" t="s">
        <v>271</v>
      </c>
      <c r="B128" s="288">
        <v>3419</v>
      </c>
      <c r="C128" s="71" t="s">
        <v>272</v>
      </c>
      <c r="D128" s="105">
        <v>10</v>
      </c>
      <c r="E128" s="337" t="s">
        <v>274</v>
      </c>
      <c r="F128" s="102">
        <f>SUM(G128:I128)</f>
        <v>0</v>
      </c>
      <c r="G128" s="69"/>
      <c r="H128" s="40"/>
      <c r="I128" s="84">
        <v>0</v>
      </c>
      <c r="J128" s="68">
        <f>SUM(K128:M128)</f>
        <v>350</v>
      </c>
      <c r="K128" s="275"/>
      <c r="L128" s="158"/>
      <c r="M128" s="175">
        <v>350</v>
      </c>
      <c r="N128" s="125">
        <f>SUM(O128:Q128)</f>
        <v>350</v>
      </c>
      <c r="O128" s="152"/>
      <c r="P128" s="161"/>
      <c r="Q128" s="175">
        <v>350</v>
      </c>
      <c r="R128" s="214"/>
    </row>
    <row r="129" spans="1:18" ht="13.5" thickBot="1">
      <c r="A129" s="374" t="s">
        <v>24</v>
      </c>
      <c r="B129" s="375"/>
      <c r="C129" s="66"/>
      <c r="D129" s="48"/>
      <c r="E129" s="382"/>
      <c r="F129" s="383"/>
      <c r="G129" s="376"/>
      <c r="H129" s="376"/>
      <c r="I129" s="376"/>
      <c r="J129" s="376"/>
      <c r="K129" s="384"/>
      <c r="L129" s="385"/>
      <c r="M129" s="386"/>
      <c r="N129" s="376"/>
      <c r="O129" s="376"/>
      <c r="P129" s="376"/>
      <c r="Q129" s="376"/>
      <c r="R129" s="347"/>
    </row>
    <row r="130" spans="1:18" ht="13.5" thickBot="1">
      <c r="A130" s="348"/>
      <c r="B130" s="349"/>
      <c r="C130" s="350"/>
      <c r="D130" s="351"/>
      <c r="E130" s="352" t="s">
        <v>17</v>
      </c>
      <c r="F130" s="387">
        <f aca="true" t="shared" si="28" ref="F130:F147">SUM(G130:I130)</f>
        <v>12500</v>
      </c>
      <c r="G130" s="356">
        <f>SUM(G131:G147)</f>
        <v>11500</v>
      </c>
      <c r="H130" s="356">
        <f>SUM(H131:H147)</f>
        <v>0</v>
      </c>
      <c r="I130" s="356">
        <f>SUM(I131:I147)</f>
        <v>1000</v>
      </c>
      <c r="J130" s="388">
        <f>SUM(K130:M130)</f>
        <v>41804.7</v>
      </c>
      <c r="K130" s="356">
        <f>SUM(K131:K147)</f>
        <v>37551.7</v>
      </c>
      <c r="L130" s="356">
        <f>SUM(L131:L147)</f>
        <v>0</v>
      </c>
      <c r="M130" s="356">
        <f>SUM(M131:M147)</f>
        <v>4253</v>
      </c>
      <c r="N130" s="353">
        <f>SUM(O130:Q130)</f>
        <v>20330.82</v>
      </c>
      <c r="O130" s="357">
        <f>SUM(O131:O147)</f>
        <v>16273.400000000001</v>
      </c>
      <c r="P130" s="356">
        <f>SUM(P131:P147)</f>
        <v>0</v>
      </c>
      <c r="Q130" s="358">
        <f>SUM(Q131:Q147)</f>
        <v>4057.42</v>
      </c>
      <c r="R130" s="359">
        <f>SUM(N130/J130)</f>
        <v>0.4863285707109488</v>
      </c>
    </row>
    <row r="131" spans="1:18" ht="12.75">
      <c r="A131" s="570" t="s">
        <v>58</v>
      </c>
      <c r="B131" s="571">
        <v>3523</v>
      </c>
      <c r="C131" s="572" t="s">
        <v>43</v>
      </c>
      <c r="D131" s="536">
        <v>210</v>
      </c>
      <c r="E131" s="573" t="s">
        <v>168</v>
      </c>
      <c r="F131" s="574">
        <f t="shared" si="28"/>
        <v>4000</v>
      </c>
      <c r="G131" s="575">
        <v>4000</v>
      </c>
      <c r="H131" s="575"/>
      <c r="I131" s="576"/>
      <c r="J131" s="574">
        <f>SUM(K131:M131)</f>
        <v>0</v>
      </c>
      <c r="K131" s="575">
        <f>4000-250-200-1000-2550</f>
        <v>0</v>
      </c>
      <c r="L131" s="575"/>
      <c r="M131" s="577"/>
      <c r="N131" s="456">
        <f>SUM(O131:Q131)</f>
        <v>0</v>
      </c>
      <c r="O131" s="643">
        <v>0</v>
      </c>
      <c r="P131" s="575"/>
      <c r="Q131" s="576"/>
      <c r="R131" s="214"/>
    </row>
    <row r="132" spans="1:18" ht="12.75">
      <c r="A132" s="131" t="s">
        <v>226</v>
      </c>
      <c r="B132" s="180">
        <v>3523</v>
      </c>
      <c r="C132" s="206" t="s">
        <v>43</v>
      </c>
      <c r="D132" s="267">
        <v>210</v>
      </c>
      <c r="E132" s="681" t="s">
        <v>168</v>
      </c>
      <c r="F132" s="72">
        <f>SUM(G132:I132)</f>
        <v>0</v>
      </c>
      <c r="G132" s="181">
        <v>0</v>
      </c>
      <c r="H132" s="181"/>
      <c r="I132" s="197"/>
      <c r="J132" s="72">
        <f>SUM(K132:M132)</f>
        <v>2550</v>
      </c>
      <c r="K132" s="181">
        <f>4000-250-200-1000</f>
        <v>2550</v>
      </c>
      <c r="L132" s="181"/>
      <c r="M132" s="235"/>
      <c r="N132" s="99">
        <f>SUM(O132:Q132)</f>
        <v>2194.05</v>
      </c>
      <c r="O132" s="234">
        <v>2194.05</v>
      </c>
      <c r="P132" s="181"/>
      <c r="Q132" s="197"/>
      <c r="R132" s="214"/>
    </row>
    <row r="133" spans="1:18" ht="13.5" thickBot="1">
      <c r="A133" s="578" t="s">
        <v>226</v>
      </c>
      <c r="B133" s="579">
        <v>3523</v>
      </c>
      <c r="C133" s="580" t="s">
        <v>43</v>
      </c>
      <c r="D133" s="581">
        <v>90</v>
      </c>
      <c r="E133" s="582" t="s">
        <v>227</v>
      </c>
      <c r="F133" s="583">
        <f t="shared" si="28"/>
        <v>0</v>
      </c>
      <c r="G133" s="584">
        <v>0</v>
      </c>
      <c r="H133" s="584"/>
      <c r="I133" s="585"/>
      <c r="J133" s="583">
        <f aca="true" t="shared" si="29" ref="J133:J141">SUM(K133:M133)</f>
        <v>1824.8</v>
      </c>
      <c r="K133" s="584">
        <v>1824.8</v>
      </c>
      <c r="L133" s="584"/>
      <c r="M133" s="586"/>
      <c r="N133" s="469">
        <f aca="true" t="shared" si="30" ref="N133:N141">SUM(O133:Q133)</f>
        <v>1824.82</v>
      </c>
      <c r="O133" s="644">
        <v>1824.82</v>
      </c>
      <c r="P133" s="584"/>
      <c r="Q133" s="585"/>
      <c r="R133" s="214"/>
    </row>
    <row r="134" spans="1:18" ht="12.75">
      <c r="A134" s="570" t="s">
        <v>68</v>
      </c>
      <c r="B134" s="571">
        <v>3523</v>
      </c>
      <c r="C134" s="572" t="s">
        <v>43</v>
      </c>
      <c r="D134" s="536">
        <v>210</v>
      </c>
      <c r="E134" s="573" t="s">
        <v>169</v>
      </c>
      <c r="F134" s="574">
        <f t="shared" si="28"/>
        <v>2000</v>
      </c>
      <c r="G134" s="575">
        <v>2000</v>
      </c>
      <c r="H134" s="575"/>
      <c r="I134" s="576"/>
      <c r="J134" s="574">
        <f t="shared" si="29"/>
        <v>477</v>
      </c>
      <c r="K134" s="575">
        <f>2000-13-10-1500</f>
        <v>477</v>
      </c>
      <c r="L134" s="575"/>
      <c r="M134" s="577"/>
      <c r="N134" s="456">
        <f t="shared" si="30"/>
        <v>0</v>
      </c>
      <c r="O134" s="643">
        <v>0</v>
      </c>
      <c r="P134" s="575"/>
      <c r="Q134" s="576"/>
      <c r="R134" s="214"/>
    </row>
    <row r="135" spans="1:18" ht="13.5" thickBot="1">
      <c r="A135" s="578" t="s">
        <v>232</v>
      </c>
      <c r="B135" s="579">
        <v>3523</v>
      </c>
      <c r="C135" s="580" t="s">
        <v>43</v>
      </c>
      <c r="D135" s="581">
        <v>90</v>
      </c>
      <c r="E135" s="582" t="s">
        <v>233</v>
      </c>
      <c r="F135" s="583">
        <f t="shared" si="28"/>
        <v>0</v>
      </c>
      <c r="G135" s="584">
        <v>0</v>
      </c>
      <c r="H135" s="584"/>
      <c r="I135" s="585"/>
      <c r="J135" s="583">
        <f t="shared" si="29"/>
        <v>25705.3</v>
      </c>
      <c r="K135" s="584">
        <v>25705.3</v>
      </c>
      <c r="L135" s="584"/>
      <c r="M135" s="586"/>
      <c r="N135" s="469">
        <f t="shared" si="30"/>
        <v>6491.01</v>
      </c>
      <c r="O135" s="644">
        <v>6491.01</v>
      </c>
      <c r="P135" s="584"/>
      <c r="Q135" s="585"/>
      <c r="R135" s="214"/>
    </row>
    <row r="136" spans="1:18" ht="12.75">
      <c r="A136" s="131" t="s">
        <v>69</v>
      </c>
      <c r="B136" s="180">
        <v>3524</v>
      </c>
      <c r="C136" s="206" t="s">
        <v>43</v>
      </c>
      <c r="D136" s="267">
        <v>210</v>
      </c>
      <c r="E136" s="594" t="s">
        <v>171</v>
      </c>
      <c r="F136" s="72">
        <f t="shared" si="28"/>
        <v>3000</v>
      </c>
      <c r="G136" s="181">
        <v>3000</v>
      </c>
      <c r="H136" s="181"/>
      <c r="I136" s="197"/>
      <c r="J136" s="72">
        <f t="shared" si="29"/>
        <v>500</v>
      </c>
      <c r="K136" s="181">
        <f>3000-2500</f>
        <v>500</v>
      </c>
      <c r="L136" s="181"/>
      <c r="M136" s="235"/>
      <c r="N136" s="99">
        <f t="shared" si="30"/>
        <v>0</v>
      </c>
      <c r="O136" s="234">
        <v>0</v>
      </c>
      <c r="P136" s="181"/>
      <c r="Q136" s="197"/>
      <c r="R136" s="214"/>
    </row>
    <row r="137" spans="1:18" ht="13.5" thickBot="1">
      <c r="A137" s="569" t="s">
        <v>230</v>
      </c>
      <c r="B137" s="587">
        <v>3524</v>
      </c>
      <c r="C137" s="588" t="s">
        <v>43</v>
      </c>
      <c r="D137" s="542">
        <v>90</v>
      </c>
      <c r="E137" s="589" t="s">
        <v>231</v>
      </c>
      <c r="F137" s="590">
        <f t="shared" si="28"/>
        <v>0</v>
      </c>
      <c r="G137" s="591">
        <v>0</v>
      </c>
      <c r="H137" s="591"/>
      <c r="I137" s="592"/>
      <c r="J137" s="590">
        <f t="shared" si="29"/>
        <v>2728.6</v>
      </c>
      <c r="K137" s="591">
        <v>2728.6</v>
      </c>
      <c r="L137" s="591"/>
      <c r="M137" s="593"/>
      <c r="N137" s="543">
        <f t="shared" si="30"/>
        <v>2322.8</v>
      </c>
      <c r="O137" s="645">
        <v>2322.8</v>
      </c>
      <c r="P137" s="591"/>
      <c r="Q137" s="592"/>
      <c r="R137" s="214"/>
    </row>
    <row r="138" spans="1:18" ht="13.5" thickBot="1">
      <c r="A138" s="132" t="s">
        <v>79</v>
      </c>
      <c r="B138" s="617">
        <v>3524</v>
      </c>
      <c r="C138" s="618" t="s">
        <v>43</v>
      </c>
      <c r="D138" s="108">
        <v>210</v>
      </c>
      <c r="E138" s="619" t="s">
        <v>170</v>
      </c>
      <c r="F138" s="620">
        <f t="shared" si="28"/>
        <v>2000</v>
      </c>
      <c r="G138" s="621">
        <v>2000</v>
      </c>
      <c r="H138" s="621"/>
      <c r="I138" s="622"/>
      <c r="J138" s="620">
        <f t="shared" si="29"/>
        <v>0</v>
      </c>
      <c r="K138" s="621">
        <f>2000-2000</f>
        <v>0</v>
      </c>
      <c r="L138" s="621"/>
      <c r="M138" s="623"/>
      <c r="N138" s="221">
        <f t="shared" si="30"/>
        <v>0</v>
      </c>
      <c r="O138" s="646">
        <v>0</v>
      </c>
      <c r="P138" s="621"/>
      <c r="Q138" s="622"/>
      <c r="R138" s="214"/>
    </row>
    <row r="139" spans="1:18" ht="12.75">
      <c r="A139" s="570" t="s">
        <v>265</v>
      </c>
      <c r="B139" s="571">
        <v>3524</v>
      </c>
      <c r="C139" s="572" t="s">
        <v>43</v>
      </c>
      <c r="D139" s="536">
        <v>210</v>
      </c>
      <c r="E139" s="573" t="s">
        <v>228</v>
      </c>
      <c r="F139" s="574">
        <f>SUM(G139:I139)</f>
        <v>0</v>
      </c>
      <c r="G139" s="575">
        <v>0</v>
      </c>
      <c r="H139" s="575"/>
      <c r="I139" s="576"/>
      <c r="J139" s="574">
        <f>SUM(K139:M139)</f>
        <v>0</v>
      </c>
      <c r="K139" s="575">
        <f>2000+250+200-2450</f>
        <v>0</v>
      </c>
      <c r="L139" s="575"/>
      <c r="M139" s="577"/>
      <c r="N139" s="456">
        <f>SUM(O139:Q139)</f>
        <v>0</v>
      </c>
      <c r="O139" s="643">
        <v>0</v>
      </c>
      <c r="P139" s="575"/>
      <c r="Q139" s="576"/>
      <c r="R139" s="214"/>
    </row>
    <row r="140" spans="1:20" ht="12.75">
      <c r="A140" s="140" t="s">
        <v>229</v>
      </c>
      <c r="B140" s="180">
        <v>3524</v>
      </c>
      <c r="C140" s="206" t="s">
        <v>43</v>
      </c>
      <c r="D140" s="267">
        <v>210</v>
      </c>
      <c r="E140" s="681" t="s">
        <v>228</v>
      </c>
      <c r="F140" s="72">
        <f>SUM(G140:I140)</f>
        <v>0</v>
      </c>
      <c r="G140" s="181">
        <v>0</v>
      </c>
      <c r="H140" s="181"/>
      <c r="I140" s="197"/>
      <c r="J140" s="72">
        <f>SUM(K140:M140)</f>
        <v>2450</v>
      </c>
      <c r="K140" s="181">
        <f>2000+250+200</f>
        <v>2450</v>
      </c>
      <c r="L140" s="181"/>
      <c r="M140" s="235"/>
      <c r="N140" s="99">
        <f>SUM(O140:Q140)</f>
        <v>2324.69</v>
      </c>
      <c r="O140" s="234">
        <v>2324.69</v>
      </c>
      <c r="P140" s="181"/>
      <c r="Q140" s="197"/>
      <c r="R140" s="214"/>
      <c r="S140" s="133"/>
      <c r="T140" s="133"/>
    </row>
    <row r="141" spans="1:20" ht="13.5" thickBot="1">
      <c r="A141" s="578" t="s">
        <v>229</v>
      </c>
      <c r="B141" s="587">
        <v>3524</v>
      </c>
      <c r="C141" s="588" t="s">
        <v>43</v>
      </c>
      <c r="D141" s="542">
        <v>90</v>
      </c>
      <c r="E141" s="624" t="s">
        <v>228</v>
      </c>
      <c r="F141" s="590">
        <f t="shared" si="28"/>
        <v>0</v>
      </c>
      <c r="G141" s="591">
        <v>0</v>
      </c>
      <c r="H141" s="591"/>
      <c r="I141" s="592"/>
      <c r="J141" s="590">
        <f t="shared" si="29"/>
        <v>1116</v>
      </c>
      <c r="K141" s="591">
        <v>1116</v>
      </c>
      <c r="L141" s="591"/>
      <c r="M141" s="593"/>
      <c r="N141" s="543">
        <f t="shared" si="30"/>
        <v>1116.03</v>
      </c>
      <c r="O141" s="645">
        <v>1116.03</v>
      </c>
      <c r="P141" s="591"/>
      <c r="Q141" s="592"/>
      <c r="R141" s="214"/>
      <c r="S141" s="133"/>
      <c r="T141" s="133"/>
    </row>
    <row r="142" spans="1:20" ht="23.25" thickBot="1">
      <c r="A142" s="705" t="s">
        <v>275</v>
      </c>
      <c r="B142" s="706">
        <v>3524</v>
      </c>
      <c r="C142" s="360" t="s">
        <v>43</v>
      </c>
      <c r="D142" s="271"/>
      <c r="E142" s="704" t="s">
        <v>299</v>
      </c>
      <c r="F142" s="73">
        <f>SUM(G142:I142)</f>
        <v>0</v>
      </c>
      <c r="G142" s="163"/>
      <c r="H142" s="163"/>
      <c r="I142" s="198">
        <v>0</v>
      </c>
      <c r="J142" s="73">
        <f aca="true" t="shared" si="31" ref="J142:J147">SUM(K142:M142)</f>
        <v>1150</v>
      </c>
      <c r="K142" s="163"/>
      <c r="L142" s="163"/>
      <c r="M142" s="177">
        <v>1150</v>
      </c>
      <c r="N142" s="102">
        <f aca="true" t="shared" si="32" ref="N142:N147">SUM(O142:Q142)</f>
        <v>1150</v>
      </c>
      <c r="O142" s="162"/>
      <c r="P142" s="163"/>
      <c r="Q142" s="198">
        <v>1150</v>
      </c>
      <c r="R142" s="214"/>
      <c r="S142" s="133"/>
      <c r="T142" s="133"/>
    </row>
    <row r="143" spans="1:20" ht="12.75" customHeight="1">
      <c r="A143" s="570" t="s">
        <v>275</v>
      </c>
      <c r="B143" s="571">
        <v>3524</v>
      </c>
      <c r="C143" s="572" t="s">
        <v>43</v>
      </c>
      <c r="D143" s="536">
        <v>10</v>
      </c>
      <c r="E143" s="573" t="s">
        <v>276</v>
      </c>
      <c r="F143" s="574">
        <f>SUM(G143:I143)</f>
        <v>0</v>
      </c>
      <c r="G143" s="575"/>
      <c r="H143" s="575"/>
      <c r="I143" s="576">
        <v>0</v>
      </c>
      <c r="J143" s="574">
        <f>SUM(K143:M143)</f>
        <v>173.8</v>
      </c>
      <c r="K143" s="575"/>
      <c r="L143" s="575"/>
      <c r="M143" s="577">
        <v>173.8</v>
      </c>
      <c r="N143" s="456">
        <f>SUM(O143:Q143)</f>
        <v>173.8</v>
      </c>
      <c r="O143" s="643"/>
      <c r="P143" s="575"/>
      <c r="Q143" s="576">
        <v>173.8</v>
      </c>
      <c r="R143" s="214"/>
      <c r="S143" s="133"/>
      <c r="T143" s="133"/>
    </row>
    <row r="144" spans="1:20" ht="13.5" thickBot="1">
      <c r="A144" s="578" t="s">
        <v>275</v>
      </c>
      <c r="B144" s="579">
        <v>3524</v>
      </c>
      <c r="C144" s="580" t="s">
        <v>43</v>
      </c>
      <c r="D144" s="581">
        <v>10</v>
      </c>
      <c r="E144" s="582" t="s">
        <v>277</v>
      </c>
      <c r="F144" s="583">
        <f>SUM(G144:I144)</f>
        <v>0</v>
      </c>
      <c r="G144" s="584"/>
      <c r="H144" s="584"/>
      <c r="I144" s="585">
        <v>0</v>
      </c>
      <c r="J144" s="583">
        <f t="shared" si="31"/>
        <v>129.2</v>
      </c>
      <c r="K144" s="584"/>
      <c r="L144" s="584"/>
      <c r="M144" s="586">
        <v>129.2</v>
      </c>
      <c r="N144" s="469">
        <f t="shared" si="32"/>
        <v>129.2</v>
      </c>
      <c r="O144" s="644"/>
      <c r="P144" s="584"/>
      <c r="Q144" s="585">
        <v>129.2</v>
      </c>
      <c r="R144" s="214"/>
      <c r="S144" s="133"/>
      <c r="T144" s="133"/>
    </row>
    <row r="145" spans="1:20" ht="12.75">
      <c r="A145" s="131" t="s">
        <v>64</v>
      </c>
      <c r="B145" s="180">
        <v>3539</v>
      </c>
      <c r="C145" s="206" t="s">
        <v>43</v>
      </c>
      <c r="D145" s="267">
        <v>210</v>
      </c>
      <c r="E145" s="594" t="s">
        <v>87</v>
      </c>
      <c r="F145" s="72">
        <f t="shared" si="28"/>
        <v>500</v>
      </c>
      <c r="G145" s="181">
        <v>500</v>
      </c>
      <c r="H145" s="181"/>
      <c r="I145" s="197"/>
      <c r="J145" s="72">
        <f t="shared" si="31"/>
        <v>200</v>
      </c>
      <c r="K145" s="181">
        <f>500-300</f>
        <v>200</v>
      </c>
      <c r="L145" s="181"/>
      <c r="M145" s="235"/>
      <c r="N145" s="99">
        <f t="shared" si="32"/>
        <v>0</v>
      </c>
      <c r="O145" s="234">
        <v>0</v>
      </c>
      <c r="P145" s="181"/>
      <c r="Q145" s="197"/>
      <c r="R145" s="214"/>
      <c r="S145" s="133"/>
      <c r="T145" s="133"/>
    </row>
    <row r="146" spans="1:20" ht="12.75">
      <c r="A146" s="140" t="s">
        <v>173</v>
      </c>
      <c r="B146" s="63">
        <v>4227</v>
      </c>
      <c r="C146" s="147" t="s">
        <v>43</v>
      </c>
      <c r="D146" s="105">
        <v>210</v>
      </c>
      <c r="E146" s="364" t="s">
        <v>172</v>
      </c>
      <c r="F146" s="73">
        <f t="shared" si="28"/>
        <v>1000</v>
      </c>
      <c r="G146" s="163"/>
      <c r="H146" s="163"/>
      <c r="I146" s="198">
        <v>1000</v>
      </c>
      <c r="J146" s="73">
        <f t="shared" si="31"/>
        <v>1000</v>
      </c>
      <c r="K146" s="163"/>
      <c r="L146" s="163"/>
      <c r="M146" s="177">
        <v>1000</v>
      </c>
      <c r="N146" s="102">
        <f t="shared" si="32"/>
        <v>804.42</v>
      </c>
      <c r="O146" s="162"/>
      <c r="P146" s="163"/>
      <c r="Q146" s="198">
        <v>804.42</v>
      </c>
      <c r="R146" s="214"/>
      <c r="S146" s="133"/>
      <c r="T146" s="133"/>
    </row>
    <row r="147" spans="1:20" ht="12.75">
      <c r="A147" s="131" t="s">
        <v>275</v>
      </c>
      <c r="B147" s="180">
        <v>4351</v>
      </c>
      <c r="C147" s="206" t="s">
        <v>43</v>
      </c>
      <c r="D147" s="267"/>
      <c r="E147" s="681" t="s">
        <v>311</v>
      </c>
      <c r="F147" s="73">
        <f t="shared" si="28"/>
        <v>0</v>
      </c>
      <c r="G147" s="181"/>
      <c r="H147" s="181"/>
      <c r="I147" s="197">
        <v>0</v>
      </c>
      <c r="J147" s="73">
        <f t="shared" si="31"/>
        <v>1800</v>
      </c>
      <c r="K147" s="181"/>
      <c r="L147" s="181"/>
      <c r="M147" s="235">
        <v>1800</v>
      </c>
      <c r="N147" s="102">
        <f t="shared" si="32"/>
        <v>1800</v>
      </c>
      <c r="O147" s="234"/>
      <c r="P147" s="181"/>
      <c r="Q147" s="197">
        <v>1800</v>
      </c>
      <c r="R147" s="214"/>
      <c r="S147" s="133"/>
      <c r="T147" s="133"/>
    </row>
    <row r="148" spans="1:20" ht="13.5" thickBot="1">
      <c r="A148" s="389"/>
      <c r="B148" s="42"/>
      <c r="C148" s="66"/>
      <c r="D148" s="42"/>
      <c r="E148" s="49"/>
      <c r="F148" s="46"/>
      <c r="G148" s="46"/>
      <c r="H148" s="46"/>
      <c r="I148" s="46"/>
      <c r="J148" s="46"/>
      <c r="K148" s="46"/>
      <c r="L148" s="46"/>
      <c r="M148" s="46"/>
      <c r="N148" s="46"/>
      <c r="O148" s="376"/>
      <c r="P148" s="376"/>
      <c r="Q148" s="376"/>
      <c r="R148" s="347"/>
      <c r="S148" s="133"/>
      <c r="T148" s="133"/>
    </row>
    <row r="149" spans="1:20" ht="13.5" thickBot="1">
      <c r="A149" s="348"/>
      <c r="B149" s="391"/>
      <c r="C149" s="392"/>
      <c r="D149" s="351"/>
      <c r="E149" s="352" t="s">
        <v>18</v>
      </c>
      <c r="F149" s="353">
        <f>SUM(G149:I149)</f>
        <v>3420</v>
      </c>
      <c r="G149" s="357">
        <f>SUM(G150:G152)</f>
        <v>0</v>
      </c>
      <c r="H149" s="356">
        <f>SUM(H150:H152)</f>
        <v>0</v>
      </c>
      <c r="I149" s="356">
        <f>SUM(I150:I152)</f>
        <v>3420</v>
      </c>
      <c r="J149" s="355">
        <f>SUM(K149:M149)</f>
        <v>1440</v>
      </c>
      <c r="K149" s="356">
        <f>SUM(K150:K152)</f>
        <v>0</v>
      </c>
      <c r="L149" s="356">
        <f>SUM(L150:L152)</f>
        <v>0</v>
      </c>
      <c r="M149" s="356">
        <f>SUM(M150:M152)</f>
        <v>1440</v>
      </c>
      <c r="N149" s="353">
        <f>SUM(O149:Q149)</f>
        <v>495.45</v>
      </c>
      <c r="O149" s="393">
        <f>SUM(O150:O152)</f>
        <v>0</v>
      </c>
      <c r="P149" s="394">
        <f>SUM(P150:P152)</f>
        <v>0</v>
      </c>
      <c r="Q149" s="395">
        <f>SUM(Q150:Q152)</f>
        <v>495.45</v>
      </c>
      <c r="R149" s="359">
        <f>SUM(N149/J149)</f>
        <v>0.3440625</v>
      </c>
      <c r="S149" s="133"/>
      <c r="T149" s="133"/>
    </row>
    <row r="150" spans="1:20" ht="12.75">
      <c r="A150" s="310">
        <v>22618</v>
      </c>
      <c r="B150" s="207">
        <v>3326</v>
      </c>
      <c r="C150" s="206" t="s">
        <v>44</v>
      </c>
      <c r="D150" s="208">
        <v>210</v>
      </c>
      <c r="E150" s="390" t="s">
        <v>88</v>
      </c>
      <c r="F150" s="183">
        <f>SUM(G150:I150)</f>
        <v>3000</v>
      </c>
      <c r="G150" s="184"/>
      <c r="H150" s="185"/>
      <c r="I150" s="186">
        <v>3000</v>
      </c>
      <c r="J150" s="187">
        <f>SUM(K150:M150)</f>
        <v>1000</v>
      </c>
      <c r="K150" s="311"/>
      <c r="L150" s="185"/>
      <c r="M150" s="273">
        <f>3000-2000</f>
        <v>1000</v>
      </c>
      <c r="N150" s="183">
        <f>SUM(O150:Q150)</f>
        <v>55.66</v>
      </c>
      <c r="O150" s="326"/>
      <c r="P150" s="233"/>
      <c r="Q150" s="647">
        <v>55.66</v>
      </c>
      <c r="R150" s="214"/>
      <c r="S150" s="133"/>
      <c r="T150" s="133"/>
    </row>
    <row r="151" spans="1:18" ht="12.75">
      <c r="A151" s="215">
        <v>22619</v>
      </c>
      <c r="B151" s="305">
        <v>3326</v>
      </c>
      <c r="C151" s="127" t="s">
        <v>44</v>
      </c>
      <c r="D151" s="306">
        <v>210</v>
      </c>
      <c r="E151" s="332" t="s">
        <v>174</v>
      </c>
      <c r="F151" s="126">
        <f>SUM(G151:I151)</f>
        <v>120</v>
      </c>
      <c r="G151" s="269"/>
      <c r="H151" s="55"/>
      <c r="I151" s="307">
        <v>120</v>
      </c>
      <c r="J151" s="300">
        <f>SUM(K151:M151)</f>
        <v>120</v>
      </c>
      <c r="K151" s="269"/>
      <c r="L151" s="55"/>
      <c r="M151" s="314">
        <v>120</v>
      </c>
      <c r="N151" s="126">
        <f>SUM(O151:Q151)</f>
        <v>119.79</v>
      </c>
      <c r="O151" s="162"/>
      <c r="P151" s="164"/>
      <c r="Q151" s="198">
        <v>119.79</v>
      </c>
      <c r="R151" s="214"/>
    </row>
    <row r="152" spans="1:18" ht="12.75">
      <c r="A152" s="215">
        <v>22620</v>
      </c>
      <c r="B152" s="305">
        <v>3326</v>
      </c>
      <c r="C152" s="127" t="s">
        <v>44</v>
      </c>
      <c r="D152" s="306">
        <v>210</v>
      </c>
      <c r="E152" s="334" t="s">
        <v>59</v>
      </c>
      <c r="F152" s="126">
        <f>SUM(G152:I152)</f>
        <v>300</v>
      </c>
      <c r="G152" s="269"/>
      <c r="H152" s="55"/>
      <c r="I152" s="307">
        <v>300</v>
      </c>
      <c r="J152" s="300">
        <f>SUM(K152:M152)</f>
        <v>320</v>
      </c>
      <c r="K152" s="269"/>
      <c r="L152" s="55"/>
      <c r="M152" s="308">
        <f>300+20</f>
        <v>320</v>
      </c>
      <c r="N152" s="126">
        <f>SUM(O152:Q152)</f>
        <v>320</v>
      </c>
      <c r="O152" s="162"/>
      <c r="P152" s="164"/>
      <c r="Q152" s="198">
        <v>320</v>
      </c>
      <c r="R152" s="214"/>
    </row>
    <row r="153" spans="1:18" ht="13.5" thickBot="1">
      <c r="A153" s="396"/>
      <c r="B153" s="397"/>
      <c r="C153" s="398"/>
      <c r="D153" s="399"/>
      <c r="E153" s="400"/>
      <c r="F153" s="54"/>
      <c r="G153" s="54"/>
      <c r="H153" s="54"/>
      <c r="I153" s="54"/>
      <c r="J153" s="54"/>
      <c r="K153" s="80"/>
      <c r="L153" s="54"/>
      <c r="M153" s="80"/>
      <c r="N153" s="54"/>
      <c r="O153" s="80"/>
      <c r="P153" s="54"/>
      <c r="Q153" s="80"/>
      <c r="R153" s="347"/>
    </row>
    <row r="154" spans="1:18" ht="13.5" thickBot="1">
      <c r="A154" s="348"/>
      <c r="B154" s="402"/>
      <c r="C154" s="350"/>
      <c r="D154" s="351"/>
      <c r="E154" s="352" t="s">
        <v>41</v>
      </c>
      <c r="F154" s="373">
        <f>SUM(G154:I154)</f>
        <v>2100</v>
      </c>
      <c r="G154" s="356">
        <f>SUM(G155:G155)</f>
        <v>0</v>
      </c>
      <c r="H154" s="356">
        <f>SUM(H155:H155)</f>
        <v>2100</v>
      </c>
      <c r="I154" s="356">
        <f>SUM(I155:I155)</f>
        <v>0</v>
      </c>
      <c r="J154" s="355">
        <f>SUM(K154:M154)</f>
        <v>0</v>
      </c>
      <c r="K154" s="357">
        <f>SUM(K155:K155)</f>
        <v>0</v>
      </c>
      <c r="L154" s="357">
        <f>SUM(L155:L155)</f>
        <v>0</v>
      </c>
      <c r="M154" s="357">
        <f>SUM(M155:M155)</f>
        <v>0</v>
      </c>
      <c r="N154" s="353">
        <f>SUM(O154:Q154)</f>
        <v>0</v>
      </c>
      <c r="O154" s="393">
        <f>SUM(O155:O155)</f>
        <v>0</v>
      </c>
      <c r="P154" s="394">
        <f>SUM(P155:P155)</f>
        <v>0</v>
      </c>
      <c r="Q154" s="395">
        <f>SUM(Q155:Q155)</f>
        <v>0</v>
      </c>
      <c r="R154" s="359">
        <v>0</v>
      </c>
    </row>
    <row r="155" spans="1:18" ht="12.75">
      <c r="A155" s="37" t="s">
        <v>60</v>
      </c>
      <c r="B155" s="38">
        <v>5212</v>
      </c>
      <c r="C155" s="82" t="s">
        <v>80</v>
      </c>
      <c r="D155" s="90">
        <v>210</v>
      </c>
      <c r="E155" s="377" t="s">
        <v>49</v>
      </c>
      <c r="F155" s="75">
        <f>SUM(G155:I155)</f>
        <v>2100</v>
      </c>
      <c r="G155" s="155"/>
      <c r="H155" s="155">
        <v>2100</v>
      </c>
      <c r="I155" s="87"/>
      <c r="J155" s="75">
        <f>SUM(K155:M155)</f>
        <v>0</v>
      </c>
      <c r="K155" s="154"/>
      <c r="L155" s="155">
        <f>2100-2100</f>
        <v>0</v>
      </c>
      <c r="M155" s="401"/>
      <c r="N155" s="742">
        <f>SUM(O155:Q155)</f>
        <v>0</v>
      </c>
      <c r="O155" s="154"/>
      <c r="P155" s="165">
        <v>0</v>
      </c>
      <c r="Q155" s="316"/>
      <c r="R155" s="214"/>
    </row>
    <row r="156" spans="1:18" ht="13.5" thickBot="1">
      <c r="A156" s="396"/>
      <c r="B156" s="397"/>
      <c r="C156" s="398"/>
      <c r="D156" s="399"/>
      <c r="E156" s="400"/>
      <c r="F156" s="54"/>
      <c r="G156" s="54"/>
      <c r="H156" s="54"/>
      <c r="I156" s="54"/>
      <c r="J156" s="54"/>
      <c r="K156" s="80"/>
      <c r="L156" s="54"/>
      <c r="M156" s="80"/>
      <c r="N156" s="54"/>
      <c r="O156" s="403"/>
      <c r="P156" s="403"/>
      <c r="Q156" s="54"/>
      <c r="R156" s="237"/>
    </row>
    <row r="157" spans="1:18" ht="13.5" thickBot="1">
      <c r="A157" s="348"/>
      <c r="B157" s="402"/>
      <c r="C157" s="350"/>
      <c r="D157" s="351"/>
      <c r="E157" s="352" t="s">
        <v>12</v>
      </c>
      <c r="F157" s="373">
        <f>SUM(G157:I157)</f>
        <v>87600</v>
      </c>
      <c r="G157" s="356">
        <f>SUM(G158:G186)</f>
        <v>87100</v>
      </c>
      <c r="H157" s="356">
        <f>SUM(H158:H186)</f>
        <v>500</v>
      </c>
      <c r="I157" s="356">
        <f>SUM(I158:I186)</f>
        <v>0</v>
      </c>
      <c r="J157" s="353">
        <f>SUM(K157:M157)</f>
        <v>55191.5</v>
      </c>
      <c r="K157" s="357">
        <f>SUM(K158:K186)</f>
        <v>48189</v>
      </c>
      <c r="L157" s="357">
        <f>SUM(L158:L186)</f>
        <v>7002.5</v>
      </c>
      <c r="M157" s="357">
        <f>SUM(M158:M186)</f>
        <v>0</v>
      </c>
      <c r="N157" s="353">
        <f aca="true" t="shared" si="33" ref="N157:N179">SUM(O157:Q157)</f>
        <v>45687.26999999999</v>
      </c>
      <c r="O157" s="357">
        <f>SUM(O158:O186)</f>
        <v>39647.47999999999</v>
      </c>
      <c r="P157" s="356">
        <f>SUM(P158:P186)</f>
        <v>6039.789999999999</v>
      </c>
      <c r="Q157" s="358">
        <f>SUM(Q158:Q186)</f>
        <v>0</v>
      </c>
      <c r="R157" s="359">
        <f>SUM(N157/J157)</f>
        <v>0.8277954032776784</v>
      </c>
    </row>
    <row r="158" spans="1:18" ht="13.5" customHeight="1">
      <c r="A158" s="317">
        <v>14623</v>
      </c>
      <c r="B158" s="38">
        <v>3612</v>
      </c>
      <c r="C158" s="82" t="s">
        <v>32</v>
      </c>
      <c r="D158" s="90">
        <v>210</v>
      </c>
      <c r="E158" s="735" t="s">
        <v>303</v>
      </c>
      <c r="F158" s="75">
        <f>SUM(G158:I158)</f>
        <v>0</v>
      </c>
      <c r="G158" s="47">
        <v>0</v>
      </c>
      <c r="H158" s="47"/>
      <c r="I158" s="87"/>
      <c r="J158" s="748">
        <f>SUM(K158:M158)</f>
        <v>9500</v>
      </c>
      <c r="K158" s="154">
        <f>10500-1000</f>
        <v>9500</v>
      </c>
      <c r="L158" s="47"/>
      <c r="M158" s="87"/>
      <c r="N158" s="743">
        <f t="shared" si="33"/>
        <v>7944</v>
      </c>
      <c r="O158" s="154">
        <v>7944</v>
      </c>
      <c r="P158" s="165"/>
      <c r="Q158" s="316"/>
      <c r="R158" s="214"/>
    </row>
    <row r="159" spans="1:18" ht="13.5" customHeight="1">
      <c r="A159" s="317">
        <v>14628</v>
      </c>
      <c r="B159" s="38">
        <v>3612</v>
      </c>
      <c r="C159" s="82" t="s">
        <v>32</v>
      </c>
      <c r="D159" s="90">
        <v>210</v>
      </c>
      <c r="E159" s="404" t="s">
        <v>77</v>
      </c>
      <c r="F159" s="75">
        <f>SUM(G159:I159)</f>
        <v>1000</v>
      </c>
      <c r="G159" s="47">
        <v>1000</v>
      </c>
      <c r="H159" s="47"/>
      <c r="I159" s="87"/>
      <c r="J159" s="748">
        <f>SUM(K159:M159)</f>
        <v>1000</v>
      </c>
      <c r="K159" s="154">
        <v>1000</v>
      </c>
      <c r="L159" s="47"/>
      <c r="M159" s="87"/>
      <c r="N159" s="743">
        <f t="shared" si="33"/>
        <v>200.29</v>
      </c>
      <c r="O159" s="154">
        <v>200.29</v>
      </c>
      <c r="P159" s="165"/>
      <c r="Q159" s="316"/>
      <c r="R159" s="214"/>
    </row>
    <row r="160" spans="1:18" ht="13.5" customHeight="1">
      <c r="A160" s="317">
        <v>14635</v>
      </c>
      <c r="B160" s="38">
        <v>3612</v>
      </c>
      <c r="C160" s="82" t="s">
        <v>32</v>
      </c>
      <c r="D160" s="90">
        <v>210</v>
      </c>
      <c r="E160" s="404" t="s">
        <v>310</v>
      </c>
      <c r="F160" s="75">
        <f>SUM(G160:I160)</f>
        <v>0</v>
      </c>
      <c r="G160" s="47">
        <v>0</v>
      </c>
      <c r="H160" s="47"/>
      <c r="I160" s="87"/>
      <c r="J160" s="748">
        <f>SUM(K160:M160)</f>
        <v>240</v>
      </c>
      <c r="K160" s="154">
        <v>240</v>
      </c>
      <c r="L160" s="47"/>
      <c r="M160" s="87"/>
      <c r="N160" s="743">
        <f>SUM(O160:Q160)</f>
        <v>239.16</v>
      </c>
      <c r="O160" s="154">
        <v>239.16</v>
      </c>
      <c r="P160" s="165"/>
      <c r="Q160" s="316"/>
      <c r="R160" s="214"/>
    </row>
    <row r="161" spans="1:18" ht="13.5" customHeight="1">
      <c r="A161" s="317">
        <v>16603</v>
      </c>
      <c r="B161" s="38">
        <v>3612</v>
      </c>
      <c r="C161" s="82" t="s">
        <v>32</v>
      </c>
      <c r="D161" s="90">
        <v>210</v>
      </c>
      <c r="E161" s="404" t="s">
        <v>302</v>
      </c>
      <c r="F161" s="75">
        <f>SUM(G161:I161)</f>
        <v>0</v>
      </c>
      <c r="G161" s="47">
        <v>0</v>
      </c>
      <c r="H161" s="47"/>
      <c r="I161" s="87"/>
      <c r="J161" s="748">
        <f>SUM(K161:M161)</f>
        <v>100</v>
      </c>
      <c r="K161" s="154">
        <f>380-280</f>
        <v>100</v>
      </c>
      <c r="L161" s="47"/>
      <c r="M161" s="87"/>
      <c r="N161" s="743">
        <f>SUM(O161:Q161)</f>
        <v>0</v>
      </c>
      <c r="O161" s="154">
        <v>0</v>
      </c>
      <c r="P161" s="165"/>
      <c r="Q161" s="316"/>
      <c r="R161" s="214"/>
    </row>
    <row r="162" spans="1:18" ht="13.5" customHeight="1">
      <c r="A162" s="216">
        <v>17625</v>
      </c>
      <c r="B162" s="44">
        <v>3612</v>
      </c>
      <c r="C162" s="67" t="s">
        <v>32</v>
      </c>
      <c r="D162" s="39">
        <v>210</v>
      </c>
      <c r="E162" s="252" t="s">
        <v>175</v>
      </c>
      <c r="F162" s="128">
        <f aca="true" t="shared" si="34" ref="F162:F170">SUM(G162:I162)</f>
        <v>6000</v>
      </c>
      <c r="G162" s="40">
        <v>6000</v>
      </c>
      <c r="H162" s="40"/>
      <c r="I162" s="84"/>
      <c r="J162" s="749">
        <f aca="true" t="shared" si="35" ref="J162:J170">SUM(K162:M162)</f>
        <v>0</v>
      </c>
      <c r="K162" s="152">
        <f>6000-1700-2300-2000</f>
        <v>0</v>
      </c>
      <c r="L162" s="40"/>
      <c r="M162" s="84"/>
      <c r="N162" s="744">
        <f t="shared" si="33"/>
        <v>0</v>
      </c>
      <c r="O162" s="152">
        <v>0</v>
      </c>
      <c r="P162" s="167"/>
      <c r="Q162" s="251"/>
      <c r="R162" s="214"/>
    </row>
    <row r="163" spans="1:18" ht="13.5" customHeight="1">
      <c r="A163" s="216">
        <v>17680</v>
      </c>
      <c r="B163" s="288">
        <v>3612</v>
      </c>
      <c r="C163" s="67" t="s">
        <v>32</v>
      </c>
      <c r="D163" s="104">
        <v>210</v>
      </c>
      <c r="E163" s="252" t="s">
        <v>176</v>
      </c>
      <c r="F163" s="128">
        <f t="shared" si="34"/>
        <v>12000</v>
      </c>
      <c r="G163" s="153">
        <v>12000</v>
      </c>
      <c r="H163" s="153"/>
      <c r="I163" s="84"/>
      <c r="J163" s="749">
        <f t="shared" si="35"/>
        <v>300</v>
      </c>
      <c r="K163" s="152">
        <f>12000-11700</f>
        <v>300</v>
      </c>
      <c r="L163" s="153"/>
      <c r="M163" s="84"/>
      <c r="N163" s="745">
        <f t="shared" si="33"/>
        <v>207.27</v>
      </c>
      <c r="O163" s="152">
        <v>207.27</v>
      </c>
      <c r="P163" s="167"/>
      <c r="Q163" s="251"/>
      <c r="R163" s="214"/>
    </row>
    <row r="164" spans="1:18" ht="13.5" customHeight="1">
      <c r="A164" s="216">
        <v>17682</v>
      </c>
      <c r="B164" s="288">
        <v>3612</v>
      </c>
      <c r="C164" s="67" t="s">
        <v>32</v>
      </c>
      <c r="D164" s="104">
        <v>210</v>
      </c>
      <c r="E164" s="252" t="s">
        <v>177</v>
      </c>
      <c r="F164" s="128">
        <f>SUM(G164:I164)</f>
        <v>14000</v>
      </c>
      <c r="G164" s="153">
        <v>14000</v>
      </c>
      <c r="H164" s="153"/>
      <c r="I164" s="84"/>
      <c r="J164" s="749">
        <f>SUM(K164:M164)</f>
        <v>0</v>
      </c>
      <c r="K164" s="152">
        <f>14000-500-1150-2000-200-10150</f>
        <v>0</v>
      </c>
      <c r="L164" s="153"/>
      <c r="M164" s="84"/>
      <c r="N164" s="745">
        <f t="shared" si="33"/>
        <v>0</v>
      </c>
      <c r="O164" s="152">
        <v>0</v>
      </c>
      <c r="P164" s="167"/>
      <c r="Q164" s="251"/>
      <c r="R164" s="214"/>
    </row>
    <row r="165" spans="1:18" ht="13.5" customHeight="1">
      <c r="A165" s="216">
        <v>18635</v>
      </c>
      <c r="B165" s="288">
        <v>3612</v>
      </c>
      <c r="C165" s="67" t="s">
        <v>32</v>
      </c>
      <c r="D165" s="104">
        <v>210</v>
      </c>
      <c r="E165" s="252" t="s">
        <v>178</v>
      </c>
      <c r="F165" s="128">
        <f>SUM(G165:I165)</f>
        <v>5000</v>
      </c>
      <c r="G165" s="153">
        <v>5000</v>
      </c>
      <c r="H165" s="153"/>
      <c r="I165" s="84"/>
      <c r="J165" s="749">
        <f>SUM(K165:M165)</f>
        <v>8953</v>
      </c>
      <c r="K165" s="709">
        <f>5000+6500-590-257-1700</f>
        <v>8953</v>
      </c>
      <c r="L165" s="707"/>
      <c r="M165" s="708"/>
      <c r="N165" s="744">
        <f t="shared" si="33"/>
        <v>8900.92</v>
      </c>
      <c r="O165" s="709">
        <v>8900.92</v>
      </c>
      <c r="P165" s="167"/>
      <c r="Q165" s="251"/>
      <c r="R165" s="214"/>
    </row>
    <row r="166" spans="1:18" ht="25.5" customHeight="1">
      <c r="A166" s="219">
        <v>18654</v>
      </c>
      <c r="B166" s="238">
        <v>3612</v>
      </c>
      <c r="C166" s="254" t="s">
        <v>32</v>
      </c>
      <c r="D166" s="239">
        <v>210</v>
      </c>
      <c r="E166" s="252" t="s">
        <v>179</v>
      </c>
      <c r="F166" s="50">
        <f t="shared" si="34"/>
        <v>8000</v>
      </c>
      <c r="G166" s="55">
        <v>8000</v>
      </c>
      <c r="H166" s="55"/>
      <c r="I166" s="142"/>
      <c r="J166" s="126">
        <f t="shared" si="35"/>
        <v>10150</v>
      </c>
      <c r="K166" s="164">
        <f>8000+2000+150</f>
        <v>10150</v>
      </c>
      <c r="L166" s="55"/>
      <c r="M166" s="142"/>
      <c r="N166" s="746">
        <f t="shared" si="33"/>
        <v>9664.34</v>
      </c>
      <c r="O166" s="164">
        <v>9664.34</v>
      </c>
      <c r="P166" s="167"/>
      <c r="Q166" s="251"/>
      <c r="R166" s="214"/>
    </row>
    <row r="167" spans="1:18" ht="13.5" customHeight="1">
      <c r="A167" s="216">
        <v>19623</v>
      </c>
      <c r="B167" s="129">
        <v>3612</v>
      </c>
      <c r="C167" s="67" t="s">
        <v>32</v>
      </c>
      <c r="D167" s="39">
        <v>210</v>
      </c>
      <c r="E167" s="252" t="s">
        <v>180</v>
      </c>
      <c r="F167" s="128">
        <f t="shared" si="34"/>
        <v>5000</v>
      </c>
      <c r="G167" s="40">
        <v>5000</v>
      </c>
      <c r="H167" s="40"/>
      <c r="I167" s="79"/>
      <c r="J167" s="749">
        <f t="shared" si="35"/>
        <v>0</v>
      </c>
      <c r="K167" s="69">
        <f>5000-5000</f>
        <v>0</v>
      </c>
      <c r="L167" s="40"/>
      <c r="M167" s="79"/>
      <c r="N167" s="745">
        <f t="shared" si="33"/>
        <v>0</v>
      </c>
      <c r="O167" s="152">
        <v>0</v>
      </c>
      <c r="P167" s="167"/>
      <c r="Q167" s="251"/>
      <c r="R167" s="214"/>
    </row>
    <row r="168" spans="1:18" ht="12.75" customHeight="1">
      <c r="A168" s="219">
        <v>19625</v>
      </c>
      <c r="B168" s="253">
        <v>3612</v>
      </c>
      <c r="C168" s="254" t="s">
        <v>32</v>
      </c>
      <c r="D168" s="255">
        <v>210</v>
      </c>
      <c r="E168" s="252" t="s">
        <v>181</v>
      </c>
      <c r="F168" s="50">
        <f t="shared" si="34"/>
        <v>13000</v>
      </c>
      <c r="G168" s="55">
        <v>13000</v>
      </c>
      <c r="H168" s="55"/>
      <c r="I168" s="86"/>
      <c r="J168" s="126">
        <f t="shared" si="35"/>
        <v>4600</v>
      </c>
      <c r="K168" s="164">
        <f>13000-1500-1300-1400-4200</f>
        <v>4600</v>
      </c>
      <c r="L168" s="55"/>
      <c r="M168" s="86"/>
      <c r="N168" s="746">
        <f t="shared" si="33"/>
        <v>3751.84</v>
      </c>
      <c r="O168" s="164">
        <v>3751.84</v>
      </c>
      <c r="P168" s="168"/>
      <c r="Q168" s="331"/>
      <c r="R168" s="214"/>
    </row>
    <row r="169" spans="1:18" ht="13.5" customHeight="1">
      <c r="A169" s="216">
        <v>19626</v>
      </c>
      <c r="B169" s="129">
        <v>3612</v>
      </c>
      <c r="C169" s="67" t="s">
        <v>32</v>
      </c>
      <c r="D169" s="39">
        <v>210</v>
      </c>
      <c r="E169" s="252" t="s">
        <v>279</v>
      </c>
      <c r="F169" s="50">
        <f t="shared" si="34"/>
        <v>4000</v>
      </c>
      <c r="G169" s="55">
        <v>4000</v>
      </c>
      <c r="H169" s="55"/>
      <c r="I169" s="86"/>
      <c r="J169" s="126">
        <f t="shared" si="35"/>
        <v>4600</v>
      </c>
      <c r="K169" s="164">
        <f>4000+2500-1900</f>
        <v>4600</v>
      </c>
      <c r="L169" s="169"/>
      <c r="M169" s="301"/>
      <c r="N169" s="746">
        <f t="shared" si="33"/>
        <v>3829.24</v>
      </c>
      <c r="O169" s="164">
        <v>3829.24</v>
      </c>
      <c r="P169" s="167"/>
      <c r="Q169" s="251"/>
      <c r="R169" s="214"/>
    </row>
    <row r="170" spans="1:18" ht="13.5" customHeight="1">
      <c r="A170" s="219">
        <v>20602</v>
      </c>
      <c r="B170" s="238">
        <v>3612</v>
      </c>
      <c r="C170" s="254" t="s">
        <v>32</v>
      </c>
      <c r="D170" s="239">
        <v>210</v>
      </c>
      <c r="E170" s="252" t="s">
        <v>184</v>
      </c>
      <c r="F170" s="50">
        <f t="shared" si="34"/>
        <v>2000</v>
      </c>
      <c r="G170" s="169">
        <v>2000</v>
      </c>
      <c r="H170" s="55"/>
      <c r="I170" s="142"/>
      <c r="J170" s="126">
        <f t="shared" si="35"/>
        <v>2000</v>
      </c>
      <c r="K170" s="164">
        <v>2000</v>
      </c>
      <c r="L170" s="55"/>
      <c r="M170" s="142"/>
      <c r="N170" s="746">
        <f t="shared" si="33"/>
        <v>1184.67</v>
      </c>
      <c r="O170" s="164">
        <v>1184.67</v>
      </c>
      <c r="P170" s="169"/>
      <c r="Q170" s="309"/>
      <c r="R170" s="214"/>
    </row>
    <row r="171" spans="1:18" ht="27" customHeight="1">
      <c r="A171" s="219">
        <v>20649</v>
      </c>
      <c r="B171" s="238">
        <v>3612</v>
      </c>
      <c r="C171" s="254" t="s">
        <v>32</v>
      </c>
      <c r="D171" s="239">
        <v>210</v>
      </c>
      <c r="E171" s="252" t="s">
        <v>182</v>
      </c>
      <c r="F171" s="50">
        <f aca="true" t="shared" si="36" ref="F171:F186">SUM(G171:I171)</f>
        <v>10000</v>
      </c>
      <c r="G171" s="164">
        <v>10000</v>
      </c>
      <c r="H171" s="55"/>
      <c r="I171" s="142"/>
      <c r="J171" s="126">
        <f>SUM(K171:M171)</f>
        <v>1100</v>
      </c>
      <c r="K171" s="164">
        <f>10000-1200-2500-4000-380-820</f>
        <v>1100</v>
      </c>
      <c r="L171" s="55"/>
      <c r="M171" s="142"/>
      <c r="N171" s="746">
        <f t="shared" si="33"/>
        <v>229.9</v>
      </c>
      <c r="O171" s="164">
        <v>229.9</v>
      </c>
      <c r="P171" s="168"/>
      <c r="Q171" s="331"/>
      <c r="R171" s="214"/>
    </row>
    <row r="172" spans="1:18" ht="13.5" customHeight="1">
      <c r="A172" s="219">
        <v>21631</v>
      </c>
      <c r="B172" s="238">
        <v>3612</v>
      </c>
      <c r="C172" s="254" t="s">
        <v>32</v>
      </c>
      <c r="D172" s="271">
        <v>210</v>
      </c>
      <c r="E172" s="252" t="s">
        <v>186</v>
      </c>
      <c r="F172" s="50">
        <f t="shared" si="36"/>
        <v>1000</v>
      </c>
      <c r="G172" s="55">
        <v>1000</v>
      </c>
      <c r="H172" s="55"/>
      <c r="I172" s="142"/>
      <c r="J172" s="126">
        <f aca="true" t="shared" si="37" ref="J172:J179">SUM(K172:M172)</f>
        <v>1100</v>
      </c>
      <c r="K172" s="164">
        <f>1000+1150-1050</f>
        <v>1100</v>
      </c>
      <c r="L172" s="55"/>
      <c r="M172" s="142"/>
      <c r="N172" s="746">
        <f t="shared" si="33"/>
        <v>589.01</v>
      </c>
      <c r="O172" s="164">
        <v>589.01</v>
      </c>
      <c r="P172" s="168"/>
      <c r="Q172" s="331"/>
      <c r="R172" s="217"/>
    </row>
    <row r="173" spans="1:18" ht="13.5" customHeight="1">
      <c r="A173" s="140" t="s">
        <v>266</v>
      </c>
      <c r="B173" s="342">
        <v>3612</v>
      </c>
      <c r="C173" s="147" t="s">
        <v>32</v>
      </c>
      <c r="D173" s="39">
        <v>84</v>
      </c>
      <c r="E173" s="252" t="s">
        <v>267</v>
      </c>
      <c r="F173" s="245">
        <f t="shared" si="36"/>
        <v>0</v>
      </c>
      <c r="G173" s="74"/>
      <c r="H173" s="52">
        <v>0</v>
      </c>
      <c r="I173" s="84"/>
      <c r="J173" s="100">
        <f>SUM(K173:M173)</f>
        <v>560.5</v>
      </c>
      <c r="K173" s="171"/>
      <c r="L173" s="153">
        <v>560.5</v>
      </c>
      <c r="M173" s="153"/>
      <c r="N173" s="100">
        <f>SUM(O173:Q173)</f>
        <v>560.5</v>
      </c>
      <c r="O173" s="152"/>
      <c r="P173" s="153">
        <v>560.5</v>
      </c>
      <c r="Q173" s="202"/>
      <c r="R173" s="217"/>
    </row>
    <row r="174" spans="1:18" ht="13.5" customHeight="1">
      <c r="A174" s="219">
        <v>22621</v>
      </c>
      <c r="B174" s="238">
        <v>3612</v>
      </c>
      <c r="C174" s="254" t="s">
        <v>32</v>
      </c>
      <c r="D174" s="271">
        <v>210</v>
      </c>
      <c r="E174" s="252" t="s">
        <v>183</v>
      </c>
      <c r="F174" s="50">
        <f t="shared" si="36"/>
        <v>600</v>
      </c>
      <c r="G174" s="55">
        <v>600</v>
      </c>
      <c r="H174" s="55"/>
      <c r="I174" s="142"/>
      <c r="J174" s="126">
        <f>SUM(K174:M174)</f>
        <v>100</v>
      </c>
      <c r="K174" s="164">
        <f>600-500</f>
        <v>100</v>
      </c>
      <c r="L174" s="55"/>
      <c r="M174" s="142"/>
      <c r="N174" s="746">
        <f t="shared" si="33"/>
        <v>17.56</v>
      </c>
      <c r="O174" s="164">
        <v>17.56</v>
      </c>
      <c r="P174" s="168"/>
      <c r="Q174" s="331"/>
      <c r="R174" s="217"/>
    </row>
    <row r="175" spans="1:18" ht="13.5" customHeight="1">
      <c r="A175" s="219">
        <v>22623</v>
      </c>
      <c r="B175" s="238">
        <v>3612</v>
      </c>
      <c r="C175" s="254" t="s">
        <v>32</v>
      </c>
      <c r="D175" s="239">
        <v>210</v>
      </c>
      <c r="E175" s="252" t="s">
        <v>185</v>
      </c>
      <c r="F175" s="50">
        <f t="shared" si="36"/>
        <v>5000</v>
      </c>
      <c r="G175" s="55">
        <v>5000</v>
      </c>
      <c r="H175" s="55"/>
      <c r="I175" s="142"/>
      <c r="J175" s="126">
        <f t="shared" si="37"/>
        <v>100</v>
      </c>
      <c r="K175" s="164">
        <f>5000-4500-400</f>
        <v>100</v>
      </c>
      <c r="L175" s="55"/>
      <c r="M175" s="142"/>
      <c r="N175" s="746">
        <f t="shared" si="33"/>
        <v>56.7</v>
      </c>
      <c r="O175" s="164">
        <v>56.7</v>
      </c>
      <c r="P175" s="169"/>
      <c r="Q175" s="309"/>
      <c r="R175" s="217"/>
    </row>
    <row r="176" spans="1:18" ht="13.5" customHeight="1">
      <c r="A176" s="140" t="s">
        <v>189</v>
      </c>
      <c r="B176" s="288">
        <v>3612</v>
      </c>
      <c r="C176" s="127" t="s">
        <v>32</v>
      </c>
      <c r="D176" s="39">
        <v>210</v>
      </c>
      <c r="E176" s="252" t="s">
        <v>187</v>
      </c>
      <c r="F176" s="245">
        <f t="shared" si="36"/>
        <v>500</v>
      </c>
      <c r="G176" s="74">
        <v>500</v>
      </c>
      <c r="H176" s="52"/>
      <c r="I176" s="84"/>
      <c r="J176" s="100">
        <f>SUM(K176:M176)</f>
        <v>100</v>
      </c>
      <c r="K176" s="171">
        <f>500-400</f>
        <v>100</v>
      </c>
      <c r="L176" s="153"/>
      <c r="M176" s="153"/>
      <c r="N176" s="100">
        <f t="shared" si="33"/>
        <v>17.56</v>
      </c>
      <c r="O176" s="152">
        <v>17.56</v>
      </c>
      <c r="P176" s="153"/>
      <c r="Q176" s="202"/>
      <c r="R176" s="217"/>
    </row>
    <row r="177" spans="1:18" ht="13.5" customHeight="1">
      <c r="A177" s="140" t="s">
        <v>190</v>
      </c>
      <c r="B177" s="342">
        <v>3612</v>
      </c>
      <c r="C177" s="147" t="s">
        <v>32</v>
      </c>
      <c r="D177" s="39">
        <v>210</v>
      </c>
      <c r="E177" s="252" t="s">
        <v>188</v>
      </c>
      <c r="F177" s="245">
        <f t="shared" si="36"/>
        <v>500</v>
      </c>
      <c r="G177" s="74"/>
      <c r="H177" s="52">
        <v>500</v>
      </c>
      <c r="I177" s="84"/>
      <c r="J177" s="100">
        <f>SUM(K177:M177)</f>
        <v>1400</v>
      </c>
      <c r="K177" s="171"/>
      <c r="L177" s="153">
        <f>500+900</f>
        <v>1400</v>
      </c>
      <c r="M177" s="153"/>
      <c r="N177" s="100">
        <f t="shared" si="33"/>
        <v>440.31</v>
      </c>
      <c r="O177" s="152"/>
      <c r="P177" s="153">
        <v>440.31</v>
      </c>
      <c r="Q177" s="202"/>
      <c r="R177" s="217"/>
    </row>
    <row r="178" spans="1:18" ht="13.5" customHeight="1">
      <c r="A178" s="257">
        <v>22630</v>
      </c>
      <c r="B178" s="253">
        <v>3612</v>
      </c>
      <c r="C178" s="254" t="s">
        <v>32</v>
      </c>
      <c r="D178" s="255">
        <v>210</v>
      </c>
      <c r="E178" s="252" t="s">
        <v>280</v>
      </c>
      <c r="F178" s="50">
        <f t="shared" si="36"/>
        <v>0</v>
      </c>
      <c r="G178" s="55"/>
      <c r="H178" s="55">
        <v>0</v>
      </c>
      <c r="I178" s="86"/>
      <c r="J178" s="126">
        <f t="shared" si="37"/>
        <v>1400</v>
      </c>
      <c r="K178" s="164"/>
      <c r="L178" s="55">
        <f>1500-100</f>
        <v>1400</v>
      </c>
      <c r="M178" s="86"/>
      <c r="N178" s="746">
        <f t="shared" si="33"/>
        <v>1398.97</v>
      </c>
      <c r="O178" s="164"/>
      <c r="P178" s="169">
        <v>1398.97</v>
      </c>
      <c r="Q178" s="331"/>
      <c r="R178" s="217"/>
    </row>
    <row r="179" spans="1:18" ht="13.5" customHeight="1">
      <c r="A179" s="257">
        <v>22631</v>
      </c>
      <c r="B179" s="253">
        <v>3612</v>
      </c>
      <c r="C179" s="254" t="s">
        <v>32</v>
      </c>
      <c r="D179" s="255">
        <v>210</v>
      </c>
      <c r="E179" s="252" t="s">
        <v>281</v>
      </c>
      <c r="F179" s="50">
        <f t="shared" si="36"/>
        <v>0</v>
      </c>
      <c r="G179" s="55">
        <v>0</v>
      </c>
      <c r="H179" s="55"/>
      <c r="I179" s="86"/>
      <c r="J179" s="126">
        <f t="shared" si="37"/>
        <v>1212</v>
      </c>
      <c r="K179" s="164"/>
      <c r="L179" s="55">
        <f>1300-88</f>
        <v>1212</v>
      </c>
      <c r="M179" s="86"/>
      <c r="N179" s="746">
        <f t="shared" si="33"/>
        <v>1211.2</v>
      </c>
      <c r="O179" s="164"/>
      <c r="P179" s="169">
        <v>1211.2</v>
      </c>
      <c r="Q179" s="331"/>
      <c r="R179" s="217"/>
    </row>
    <row r="180" spans="1:18" ht="26.25" customHeight="1">
      <c r="A180" s="257">
        <v>22632</v>
      </c>
      <c r="B180" s="253">
        <v>3612</v>
      </c>
      <c r="C180" s="254" t="s">
        <v>32</v>
      </c>
      <c r="D180" s="255">
        <v>210</v>
      </c>
      <c r="E180" s="252" t="s">
        <v>199</v>
      </c>
      <c r="F180" s="50">
        <f t="shared" si="36"/>
        <v>0</v>
      </c>
      <c r="G180" s="55"/>
      <c r="H180" s="55">
        <v>0</v>
      </c>
      <c r="I180" s="301"/>
      <c r="J180" s="126">
        <f aca="true" t="shared" si="38" ref="J180:J186">SUM(K180:M180)</f>
        <v>1316</v>
      </c>
      <c r="K180" s="164"/>
      <c r="L180" s="55">
        <f>1400-84</f>
        <v>1316</v>
      </c>
      <c r="M180" s="301"/>
      <c r="N180" s="746">
        <f aca="true" t="shared" si="39" ref="N180:N186">SUM(O180:Q180)</f>
        <v>1315.36</v>
      </c>
      <c r="O180" s="164"/>
      <c r="P180" s="169">
        <v>1315.36</v>
      </c>
      <c r="Q180" s="331"/>
      <c r="R180" s="217"/>
    </row>
    <row r="181" spans="1:18" ht="13.5" customHeight="1">
      <c r="A181" s="257">
        <v>22633</v>
      </c>
      <c r="B181" s="253">
        <v>3612</v>
      </c>
      <c r="C181" s="254" t="s">
        <v>32</v>
      </c>
      <c r="D181" s="255">
        <v>210</v>
      </c>
      <c r="E181" s="252" t="s">
        <v>200</v>
      </c>
      <c r="F181" s="365">
        <f t="shared" si="36"/>
        <v>0</v>
      </c>
      <c r="G181" s="366"/>
      <c r="H181" s="366">
        <v>0</v>
      </c>
      <c r="I181" s="367"/>
      <c r="J181" s="750">
        <f>SUM(K181:M181)</f>
        <v>1114</v>
      </c>
      <c r="K181" s="368"/>
      <c r="L181" s="366">
        <f>1200-86</f>
        <v>1114</v>
      </c>
      <c r="M181" s="202"/>
      <c r="N181" s="747">
        <f>SUM(O181:Q181)</f>
        <v>1113.45</v>
      </c>
      <c r="O181" s="368"/>
      <c r="P181" s="153">
        <v>1113.45</v>
      </c>
      <c r="Q181" s="251"/>
      <c r="R181" s="217"/>
    </row>
    <row r="182" spans="1:18" ht="13.5" customHeight="1">
      <c r="A182" s="257">
        <v>22634</v>
      </c>
      <c r="B182" s="253">
        <v>3612</v>
      </c>
      <c r="C182" s="254" t="s">
        <v>32</v>
      </c>
      <c r="D182" s="255">
        <v>10</v>
      </c>
      <c r="E182" s="252" t="s">
        <v>201</v>
      </c>
      <c r="F182" s="365">
        <f t="shared" si="36"/>
        <v>0</v>
      </c>
      <c r="G182" s="366">
        <v>0</v>
      </c>
      <c r="H182" s="366"/>
      <c r="I182" s="367"/>
      <c r="J182" s="750">
        <f>SUM(K182:M182)</f>
        <v>945</v>
      </c>
      <c r="K182" s="368">
        <v>945</v>
      </c>
      <c r="L182" s="366"/>
      <c r="M182" s="202"/>
      <c r="N182" s="747">
        <f>SUM(O182:Q182)</f>
        <v>0</v>
      </c>
      <c r="O182" s="368">
        <v>0</v>
      </c>
      <c r="P182" s="153"/>
      <c r="Q182" s="251"/>
      <c r="R182" s="217"/>
    </row>
    <row r="183" spans="1:18" ht="13.5" customHeight="1">
      <c r="A183" s="219">
        <v>22635</v>
      </c>
      <c r="B183" s="129">
        <v>3612</v>
      </c>
      <c r="C183" s="67" t="s">
        <v>32</v>
      </c>
      <c r="D183" s="39">
        <v>10</v>
      </c>
      <c r="E183" s="252" t="s">
        <v>282</v>
      </c>
      <c r="F183" s="50">
        <f t="shared" si="36"/>
        <v>0</v>
      </c>
      <c r="G183" s="55">
        <v>0</v>
      </c>
      <c r="H183" s="55"/>
      <c r="I183" s="86"/>
      <c r="J183" s="126">
        <f t="shared" si="38"/>
        <v>86</v>
      </c>
      <c r="K183" s="164">
        <v>86</v>
      </c>
      <c r="L183" s="55"/>
      <c r="M183" s="86"/>
      <c r="N183" s="746">
        <f t="shared" si="39"/>
        <v>85.2</v>
      </c>
      <c r="O183" s="164">
        <v>85.2</v>
      </c>
      <c r="P183" s="153"/>
      <c r="Q183" s="251"/>
      <c r="R183" s="217"/>
    </row>
    <row r="184" spans="1:18" ht="13.5" customHeight="1">
      <c r="A184" s="140" t="s">
        <v>213</v>
      </c>
      <c r="B184" s="129">
        <v>3612</v>
      </c>
      <c r="C184" s="67" t="s">
        <v>32</v>
      </c>
      <c r="D184" s="39">
        <v>210</v>
      </c>
      <c r="E184" s="252" t="s">
        <v>212</v>
      </c>
      <c r="F184" s="50">
        <f t="shared" si="36"/>
        <v>0</v>
      </c>
      <c r="G184" s="55">
        <v>0</v>
      </c>
      <c r="H184" s="55"/>
      <c r="I184" s="86"/>
      <c r="J184" s="126">
        <f t="shared" si="38"/>
        <v>2400</v>
      </c>
      <c r="K184" s="164">
        <f>1700+500+200</f>
        <v>2400</v>
      </c>
      <c r="L184" s="55"/>
      <c r="M184" s="86"/>
      <c r="N184" s="746">
        <f t="shared" si="39"/>
        <v>2129.82</v>
      </c>
      <c r="O184" s="164">
        <v>2129.82</v>
      </c>
      <c r="P184" s="153"/>
      <c r="Q184" s="251"/>
      <c r="R184" s="217"/>
    </row>
    <row r="185" spans="1:18" ht="13.5" customHeight="1">
      <c r="A185" s="216">
        <v>22650</v>
      </c>
      <c r="B185" s="129">
        <v>3612</v>
      </c>
      <c r="C185" s="67" t="s">
        <v>32</v>
      </c>
      <c r="D185" s="39">
        <v>210</v>
      </c>
      <c r="E185" s="252" t="s">
        <v>278</v>
      </c>
      <c r="F185" s="50">
        <f t="shared" si="36"/>
        <v>0</v>
      </c>
      <c r="G185" s="55">
        <v>0</v>
      </c>
      <c r="H185" s="55"/>
      <c r="I185" s="86"/>
      <c r="J185" s="126">
        <f>SUM(K185:M185)</f>
        <v>200</v>
      </c>
      <c r="K185" s="164">
        <v>200</v>
      </c>
      <c r="L185" s="55"/>
      <c r="M185" s="86"/>
      <c r="N185" s="746">
        <f>SUM(O185:Q185)</f>
        <v>0</v>
      </c>
      <c r="O185" s="164">
        <v>0</v>
      </c>
      <c r="P185" s="153"/>
      <c r="Q185" s="251"/>
      <c r="R185" s="217"/>
    </row>
    <row r="186" spans="1:18" ht="13.5" customHeight="1">
      <c r="A186" s="369" t="s">
        <v>307</v>
      </c>
      <c r="B186" s="44">
        <v>3612</v>
      </c>
      <c r="C186" s="67" t="s">
        <v>32</v>
      </c>
      <c r="D186" s="39">
        <v>210</v>
      </c>
      <c r="E186" s="252" t="s">
        <v>306</v>
      </c>
      <c r="F186" s="50">
        <f t="shared" si="36"/>
        <v>0</v>
      </c>
      <c r="G186" s="55">
        <v>0</v>
      </c>
      <c r="H186" s="55"/>
      <c r="I186" s="86"/>
      <c r="J186" s="126">
        <f t="shared" si="38"/>
        <v>615</v>
      </c>
      <c r="K186" s="164">
        <v>615</v>
      </c>
      <c r="L186" s="55"/>
      <c r="M186" s="86"/>
      <c r="N186" s="746">
        <f t="shared" si="39"/>
        <v>600</v>
      </c>
      <c r="O186" s="164">
        <v>600</v>
      </c>
      <c r="P186" s="153"/>
      <c r="Q186" s="251"/>
      <c r="R186" s="217"/>
    </row>
    <row r="187" spans="1:18" ht="13.5" thickBot="1">
      <c r="A187" s="405" t="s">
        <v>24</v>
      </c>
      <c r="B187" s="406"/>
      <c r="C187" s="407"/>
      <c r="D187" s="408"/>
      <c r="E187" s="409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347"/>
    </row>
    <row r="188" spans="1:18" ht="13.5" thickBot="1">
      <c r="A188" s="348"/>
      <c r="B188" s="349"/>
      <c r="C188" s="350"/>
      <c r="D188" s="351"/>
      <c r="E188" s="410" t="s">
        <v>13</v>
      </c>
      <c r="F188" s="355">
        <f aca="true" t="shared" si="40" ref="F188:F198">SUM(G188:I188)</f>
        <v>6860</v>
      </c>
      <c r="G188" s="356">
        <f>SUM(G189:G209)</f>
        <v>1500</v>
      </c>
      <c r="H188" s="356">
        <f>SUM(H189:H209)</f>
        <v>0</v>
      </c>
      <c r="I188" s="356">
        <f>SUM(I189:I209)</f>
        <v>5360</v>
      </c>
      <c r="J188" s="355">
        <f aca="true" t="shared" si="41" ref="J188:J209">SUM(K188:M188)</f>
        <v>9290.699999999999</v>
      </c>
      <c r="K188" s="357">
        <f>SUM(K189:K209)</f>
        <v>3222.1</v>
      </c>
      <c r="L188" s="357">
        <f>SUM(L189:L209)</f>
        <v>0</v>
      </c>
      <c r="M188" s="357">
        <f>SUM(M189:M209)</f>
        <v>6068.599999999999</v>
      </c>
      <c r="N188" s="353">
        <f aca="true" t="shared" si="42" ref="N188:N209">SUM(O188:Q188)</f>
        <v>5105.4</v>
      </c>
      <c r="O188" s="358">
        <f>SUM(O189:O209)</f>
        <v>959.51</v>
      </c>
      <c r="P188" s="356">
        <f>SUM(P189:P209)</f>
        <v>0</v>
      </c>
      <c r="Q188" s="411">
        <f>SUM(Q189:Q209)</f>
        <v>4145.889999999999</v>
      </c>
      <c r="R188" s="359">
        <f>SUM(N188/J188)</f>
        <v>0.5495172591946785</v>
      </c>
    </row>
    <row r="189" spans="1:18" ht="12.75">
      <c r="A189" s="696">
        <v>17635</v>
      </c>
      <c r="B189" s="510">
        <v>6171</v>
      </c>
      <c r="C189" s="627" t="s">
        <v>46</v>
      </c>
      <c r="D189" s="536">
        <v>10</v>
      </c>
      <c r="E189" s="628" t="s">
        <v>191</v>
      </c>
      <c r="F189" s="513">
        <f t="shared" si="40"/>
        <v>0</v>
      </c>
      <c r="G189" s="636"/>
      <c r="H189" s="636"/>
      <c r="I189" s="637">
        <v>0</v>
      </c>
      <c r="J189" s="513">
        <f t="shared" si="41"/>
        <v>500</v>
      </c>
      <c r="K189" s="636"/>
      <c r="L189" s="636"/>
      <c r="M189" s="638">
        <v>500</v>
      </c>
      <c r="N189" s="518">
        <f t="shared" si="42"/>
        <v>470.98</v>
      </c>
      <c r="O189" s="639"/>
      <c r="P189" s="640"/>
      <c r="Q189" s="648">
        <v>470.98</v>
      </c>
      <c r="R189" s="217"/>
    </row>
    <row r="190" spans="1:18" ht="13.5" thickBot="1">
      <c r="A190" s="697">
        <v>17635</v>
      </c>
      <c r="B190" s="520">
        <v>6171</v>
      </c>
      <c r="C190" s="629" t="s">
        <v>46</v>
      </c>
      <c r="D190" s="581">
        <v>210</v>
      </c>
      <c r="E190" s="630" t="s">
        <v>191</v>
      </c>
      <c r="F190" s="523">
        <f>SUM(G190:I190)</f>
        <v>800</v>
      </c>
      <c r="G190" s="631"/>
      <c r="H190" s="631"/>
      <c r="I190" s="632">
        <v>800</v>
      </c>
      <c r="J190" s="523">
        <f>SUM(K190:M190)</f>
        <v>800</v>
      </c>
      <c r="K190" s="631"/>
      <c r="L190" s="631"/>
      <c r="M190" s="633">
        <v>800</v>
      </c>
      <c r="N190" s="528">
        <f>SUM(O190:Q190)</f>
        <v>800</v>
      </c>
      <c r="O190" s="634"/>
      <c r="P190" s="635"/>
      <c r="Q190" s="649">
        <v>800</v>
      </c>
      <c r="R190" s="217"/>
    </row>
    <row r="191" spans="1:18" ht="12.75">
      <c r="A191" s="310">
        <v>19674</v>
      </c>
      <c r="B191" s="318">
        <v>6171</v>
      </c>
      <c r="C191" s="319" t="s">
        <v>70</v>
      </c>
      <c r="D191" s="90">
        <v>210</v>
      </c>
      <c r="E191" s="625" t="s">
        <v>81</v>
      </c>
      <c r="F191" s="321">
        <f t="shared" si="40"/>
        <v>500</v>
      </c>
      <c r="G191" s="322"/>
      <c r="H191" s="322"/>
      <c r="I191" s="323">
        <v>500</v>
      </c>
      <c r="J191" s="321">
        <f>SUM(K191:M191)</f>
        <v>500</v>
      </c>
      <c r="K191" s="322"/>
      <c r="L191" s="322"/>
      <c r="M191" s="324">
        <v>500</v>
      </c>
      <c r="N191" s="336">
        <f t="shared" si="42"/>
        <v>242</v>
      </c>
      <c r="O191" s="509"/>
      <c r="P191" s="626"/>
      <c r="Q191" s="650">
        <v>242</v>
      </c>
      <c r="R191" s="217"/>
    </row>
    <row r="192" spans="1:18" ht="12.75">
      <c r="A192" s="230">
        <v>20636</v>
      </c>
      <c r="B192" s="44">
        <v>6171</v>
      </c>
      <c r="C192" s="67" t="s">
        <v>46</v>
      </c>
      <c r="D192" s="105">
        <v>210</v>
      </c>
      <c r="E192" s="716" t="s">
        <v>78</v>
      </c>
      <c r="F192" s="76">
        <f t="shared" si="40"/>
        <v>400</v>
      </c>
      <c r="G192" s="77"/>
      <c r="H192" s="77"/>
      <c r="I192" s="78">
        <v>400</v>
      </c>
      <c r="J192" s="76">
        <f t="shared" si="41"/>
        <v>0</v>
      </c>
      <c r="K192" s="77"/>
      <c r="L192" s="77"/>
      <c r="M192" s="201">
        <f>400-200-26-100-74</f>
        <v>0</v>
      </c>
      <c r="N192" s="126">
        <f t="shared" si="42"/>
        <v>0</v>
      </c>
      <c r="O192" s="171"/>
      <c r="P192" s="172"/>
      <c r="Q192" s="251">
        <v>0</v>
      </c>
      <c r="R192" s="217"/>
    </row>
    <row r="193" spans="1:18" ht="12.75">
      <c r="A193" s="215">
        <v>22626</v>
      </c>
      <c r="B193" s="62">
        <v>6171</v>
      </c>
      <c r="C193" s="67" t="s">
        <v>46</v>
      </c>
      <c r="D193" s="105">
        <v>210</v>
      </c>
      <c r="E193" s="333" t="s">
        <v>89</v>
      </c>
      <c r="F193" s="76">
        <f t="shared" si="40"/>
        <v>600</v>
      </c>
      <c r="G193" s="77"/>
      <c r="H193" s="77"/>
      <c r="I193" s="78">
        <v>600</v>
      </c>
      <c r="J193" s="76">
        <f t="shared" si="41"/>
        <v>0</v>
      </c>
      <c r="K193" s="77"/>
      <c r="L193" s="77"/>
      <c r="M193" s="201">
        <f>600-400-200</f>
        <v>0</v>
      </c>
      <c r="N193" s="126">
        <f t="shared" si="42"/>
        <v>0</v>
      </c>
      <c r="O193" s="171"/>
      <c r="P193" s="172"/>
      <c r="Q193" s="251">
        <v>0</v>
      </c>
      <c r="R193" s="217"/>
    </row>
    <row r="194" spans="1:18" ht="12.75">
      <c r="A194" s="341">
        <v>14631</v>
      </c>
      <c r="B194" s="44">
        <v>6171</v>
      </c>
      <c r="C194" s="67" t="s">
        <v>46</v>
      </c>
      <c r="D194" s="105">
        <v>210</v>
      </c>
      <c r="E194" s="333" t="s">
        <v>192</v>
      </c>
      <c r="F194" s="76">
        <f t="shared" si="40"/>
        <v>1000</v>
      </c>
      <c r="G194" s="77"/>
      <c r="H194" s="77"/>
      <c r="I194" s="78">
        <v>1000</v>
      </c>
      <c r="J194" s="76">
        <f t="shared" si="41"/>
        <v>972</v>
      </c>
      <c r="K194" s="77"/>
      <c r="L194" s="77"/>
      <c r="M194" s="78">
        <f>1000-28</f>
        <v>972</v>
      </c>
      <c r="N194" s="126">
        <f t="shared" si="42"/>
        <v>971.39</v>
      </c>
      <c r="O194" s="171"/>
      <c r="P194" s="172"/>
      <c r="Q194" s="251">
        <v>971.39</v>
      </c>
      <c r="R194" s="217"/>
    </row>
    <row r="195" spans="1:18" ht="12.75">
      <c r="A195" s="215">
        <v>20637</v>
      </c>
      <c r="B195" s="62">
        <v>6171</v>
      </c>
      <c r="C195" s="67" t="s">
        <v>48</v>
      </c>
      <c r="D195" s="105">
        <v>210</v>
      </c>
      <c r="E195" s="333" t="s">
        <v>91</v>
      </c>
      <c r="F195" s="76">
        <f t="shared" si="40"/>
        <v>60</v>
      </c>
      <c r="G195" s="77"/>
      <c r="H195" s="77"/>
      <c r="I195" s="78">
        <v>60</v>
      </c>
      <c r="J195" s="76">
        <f t="shared" si="41"/>
        <v>60</v>
      </c>
      <c r="K195" s="77"/>
      <c r="L195" s="77"/>
      <c r="M195" s="78">
        <v>60</v>
      </c>
      <c r="N195" s="126">
        <f t="shared" si="42"/>
        <v>0</v>
      </c>
      <c r="O195" s="171"/>
      <c r="P195" s="172"/>
      <c r="Q195" s="251">
        <v>0</v>
      </c>
      <c r="R195" s="217"/>
    </row>
    <row r="196" spans="1:18" ht="12.75">
      <c r="A196" s="215">
        <v>17631</v>
      </c>
      <c r="B196" s="62">
        <v>6171</v>
      </c>
      <c r="C196" s="67" t="s">
        <v>48</v>
      </c>
      <c r="D196" s="105">
        <v>210</v>
      </c>
      <c r="E196" s="333" t="s">
        <v>90</v>
      </c>
      <c r="F196" s="76">
        <f t="shared" si="40"/>
        <v>1000</v>
      </c>
      <c r="G196" s="77">
        <v>1000</v>
      </c>
      <c r="H196" s="77"/>
      <c r="I196" s="78"/>
      <c r="J196" s="76">
        <f>SUM(K196:M196)</f>
        <v>1492.1</v>
      </c>
      <c r="K196" s="77">
        <f>1000+492.1</f>
        <v>1492.1</v>
      </c>
      <c r="L196" s="77"/>
      <c r="M196" s="78"/>
      <c r="N196" s="126">
        <f>SUM(O196:Q196)</f>
        <v>800.76</v>
      </c>
      <c r="O196" s="171">
        <v>800.76</v>
      </c>
      <c r="P196" s="172"/>
      <c r="Q196" s="251"/>
      <c r="R196" s="217"/>
    </row>
    <row r="197" spans="1:18" ht="12.75">
      <c r="A197" s="310">
        <v>20638</v>
      </c>
      <c r="B197" s="318">
        <v>6171</v>
      </c>
      <c r="C197" s="319" t="s">
        <v>48</v>
      </c>
      <c r="D197" s="90">
        <v>210</v>
      </c>
      <c r="E197" s="320" t="s">
        <v>193</v>
      </c>
      <c r="F197" s="321">
        <f t="shared" si="40"/>
        <v>500</v>
      </c>
      <c r="G197" s="322">
        <v>500</v>
      </c>
      <c r="H197" s="322"/>
      <c r="I197" s="323"/>
      <c r="J197" s="321">
        <f t="shared" si="41"/>
        <v>500</v>
      </c>
      <c r="K197" s="160">
        <v>500</v>
      </c>
      <c r="L197" s="165"/>
      <c r="M197" s="324"/>
      <c r="N197" s="98">
        <f t="shared" si="42"/>
        <v>158.75</v>
      </c>
      <c r="O197" s="268">
        <v>158.75</v>
      </c>
      <c r="P197" s="173"/>
      <c r="Q197" s="316"/>
      <c r="R197" s="217"/>
    </row>
    <row r="198" spans="1:18" ht="13.5" thickBot="1">
      <c r="A198" s="502" t="s">
        <v>194</v>
      </c>
      <c r="B198" s="503">
        <v>6171</v>
      </c>
      <c r="C198" s="504" t="s">
        <v>48</v>
      </c>
      <c r="D198" s="223">
        <v>210</v>
      </c>
      <c r="E198" s="505" t="s">
        <v>92</v>
      </c>
      <c r="F198" s="506">
        <f t="shared" si="40"/>
        <v>2000</v>
      </c>
      <c r="G198" s="507"/>
      <c r="H198" s="507"/>
      <c r="I198" s="508">
        <v>2000</v>
      </c>
      <c r="J198" s="506">
        <f>SUM(K198:M198)</f>
        <v>1507.9</v>
      </c>
      <c r="K198" s="507"/>
      <c r="L198" s="507"/>
      <c r="M198" s="508">
        <f>2000-492.1</f>
        <v>1507.9</v>
      </c>
      <c r="N198" s="336">
        <f t="shared" si="42"/>
        <v>0</v>
      </c>
      <c r="O198" s="509"/>
      <c r="P198" s="509"/>
      <c r="Q198" s="650">
        <v>0</v>
      </c>
      <c r="R198" s="217"/>
    </row>
    <row r="199" spans="1:18" ht="12.75">
      <c r="A199" s="696">
        <v>22636</v>
      </c>
      <c r="B199" s="510">
        <v>6171</v>
      </c>
      <c r="C199" s="511" t="s">
        <v>211</v>
      </c>
      <c r="D199" s="480">
        <v>210</v>
      </c>
      <c r="E199" s="512" t="s">
        <v>208</v>
      </c>
      <c r="F199" s="513">
        <v>0</v>
      </c>
      <c r="G199" s="514">
        <v>0</v>
      </c>
      <c r="H199" s="514"/>
      <c r="I199" s="515"/>
      <c r="J199" s="513">
        <f t="shared" si="41"/>
        <v>300</v>
      </c>
      <c r="K199" s="516"/>
      <c r="L199" s="461"/>
      <c r="M199" s="517">
        <v>300</v>
      </c>
      <c r="N199" s="518">
        <f t="shared" si="42"/>
        <v>300</v>
      </c>
      <c r="O199" s="519"/>
      <c r="P199" s="519"/>
      <c r="Q199" s="651">
        <v>300</v>
      </c>
      <c r="R199" s="217"/>
    </row>
    <row r="200" spans="1:18" ht="13.5" thickBot="1">
      <c r="A200" s="697">
        <v>22636</v>
      </c>
      <c r="B200" s="520">
        <v>6171</v>
      </c>
      <c r="C200" s="521" t="s">
        <v>211</v>
      </c>
      <c r="D200" s="492"/>
      <c r="E200" s="522" t="s">
        <v>208</v>
      </c>
      <c r="F200" s="523">
        <v>0</v>
      </c>
      <c r="G200" s="524">
        <v>0</v>
      </c>
      <c r="H200" s="524"/>
      <c r="I200" s="525"/>
      <c r="J200" s="523">
        <f>SUM(K200:M200)</f>
        <v>828.7</v>
      </c>
      <c r="K200" s="526"/>
      <c r="L200" s="474"/>
      <c r="M200" s="527">
        <f>1008.7-180</f>
        <v>828.7</v>
      </c>
      <c r="N200" s="528">
        <f>SUM(O200:Q200)</f>
        <v>818.12</v>
      </c>
      <c r="O200" s="529"/>
      <c r="P200" s="529"/>
      <c r="Q200" s="652">
        <v>818.12</v>
      </c>
      <c r="R200" s="217"/>
    </row>
    <row r="201" spans="1:18" ht="12.75">
      <c r="A201" s="595" t="s">
        <v>234</v>
      </c>
      <c r="B201" s="318">
        <v>6171</v>
      </c>
      <c r="C201" s="319" t="s">
        <v>211</v>
      </c>
      <c r="D201" s="90">
        <v>90</v>
      </c>
      <c r="E201" s="337" t="s">
        <v>235</v>
      </c>
      <c r="F201" s="321">
        <v>0</v>
      </c>
      <c r="G201" s="322">
        <v>0</v>
      </c>
      <c r="H201" s="322"/>
      <c r="I201" s="323"/>
      <c r="J201" s="321">
        <f>SUM(K201:M201)</f>
        <v>250</v>
      </c>
      <c r="K201" s="160">
        <v>250</v>
      </c>
      <c r="L201" s="165"/>
      <c r="M201" s="324"/>
      <c r="N201" s="98">
        <f>SUM(O201:Q201)</f>
        <v>0</v>
      </c>
      <c r="O201" s="268">
        <v>0</v>
      </c>
      <c r="P201" s="268"/>
      <c r="Q201" s="316"/>
      <c r="R201" s="217"/>
    </row>
    <row r="202" spans="1:18" ht="12.75">
      <c r="A202" s="596" t="s">
        <v>236</v>
      </c>
      <c r="B202" s="318">
        <v>6171</v>
      </c>
      <c r="C202" s="319" t="s">
        <v>211</v>
      </c>
      <c r="D202" s="90">
        <v>90</v>
      </c>
      <c r="E202" s="337" t="s">
        <v>237</v>
      </c>
      <c r="F202" s="321">
        <v>0</v>
      </c>
      <c r="G202" s="322">
        <v>0</v>
      </c>
      <c r="H202" s="322"/>
      <c r="I202" s="323"/>
      <c r="J202" s="321">
        <f>SUM(K202:M202)</f>
        <v>980</v>
      </c>
      <c r="K202" s="160">
        <v>980</v>
      </c>
      <c r="L202" s="165"/>
      <c r="M202" s="324"/>
      <c r="N202" s="98">
        <f>SUM(O202:Q202)</f>
        <v>0</v>
      </c>
      <c r="O202" s="268">
        <v>0</v>
      </c>
      <c r="P202" s="268"/>
      <c r="Q202" s="316"/>
      <c r="R202" s="217"/>
    </row>
    <row r="203" spans="1:18" ht="12.75">
      <c r="A203" s="310">
        <v>22637</v>
      </c>
      <c r="B203" s="318">
        <v>6171</v>
      </c>
      <c r="C203" s="319" t="s">
        <v>46</v>
      </c>
      <c r="D203" s="90">
        <v>10</v>
      </c>
      <c r="E203" s="337" t="s">
        <v>313</v>
      </c>
      <c r="F203" s="321">
        <v>0</v>
      </c>
      <c r="G203" s="322">
        <v>0</v>
      </c>
      <c r="H203" s="322"/>
      <c r="I203" s="323"/>
      <c r="J203" s="321">
        <f>SUM(K203:M203)</f>
        <v>98</v>
      </c>
      <c r="K203" s="160"/>
      <c r="L203" s="165"/>
      <c r="M203" s="324">
        <f>200-102</f>
        <v>98</v>
      </c>
      <c r="N203" s="98">
        <f>SUM(O203:Q203)</f>
        <v>97.04</v>
      </c>
      <c r="O203" s="268"/>
      <c r="P203" s="268"/>
      <c r="Q203" s="316">
        <v>97.04</v>
      </c>
      <c r="R203" s="217"/>
    </row>
    <row r="204" spans="1:18" ht="12.75">
      <c r="A204" s="310">
        <v>22638</v>
      </c>
      <c r="B204" s="318">
        <v>6171</v>
      </c>
      <c r="C204" s="319" t="s">
        <v>46</v>
      </c>
      <c r="D204" s="90">
        <v>10</v>
      </c>
      <c r="E204" s="246" t="s">
        <v>209</v>
      </c>
      <c r="F204" s="321">
        <v>0</v>
      </c>
      <c r="G204" s="322">
        <v>0</v>
      </c>
      <c r="H204" s="322"/>
      <c r="I204" s="323"/>
      <c r="J204" s="321">
        <f>SUM(K204:M204)</f>
        <v>107</v>
      </c>
      <c r="K204" s="160"/>
      <c r="L204" s="165"/>
      <c r="M204" s="324">
        <f>150-43</f>
        <v>107</v>
      </c>
      <c r="N204" s="98">
        <f>SUM(O204:Q204)</f>
        <v>106.49</v>
      </c>
      <c r="O204" s="268"/>
      <c r="P204" s="268"/>
      <c r="Q204" s="324">
        <v>106.49</v>
      </c>
      <c r="R204" s="217"/>
    </row>
    <row r="205" spans="1:18" ht="12.75">
      <c r="A205" s="215">
        <v>22639</v>
      </c>
      <c r="B205" s="62">
        <v>6171</v>
      </c>
      <c r="C205" s="148" t="s">
        <v>46</v>
      </c>
      <c r="D205" s="39">
        <v>10</v>
      </c>
      <c r="E205" s="246" t="s">
        <v>210</v>
      </c>
      <c r="F205" s="76">
        <v>0</v>
      </c>
      <c r="G205" s="77">
        <v>0</v>
      </c>
      <c r="H205" s="77"/>
      <c r="I205" s="78"/>
      <c r="J205" s="76">
        <f t="shared" si="41"/>
        <v>149</v>
      </c>
      <c r="K205" s="158"/>
      <c r="L205" s="167"/>
      <c r="M205" s="324">
        <f>200-51</f>
        <v>149</v>
      </c>
      <c r="N205" s="126">
        <f t="shared" si="42"/>
        <v>148.29</v>
      </c>
      <c r="O205" s="171"/>
      <c r="P205" s="171"/>
      <c r="Q205" s="324">
        <v>148.29</v>
      </c>
      <c r="R205" s="217"/>
    </row>
    <row r="206" spans="1:18" ht="13.5" thickBot="1">
      <c r="A206" s="230">
        <v>22649</v>
      </c>
      <c r="B206" s="109">
        <v>6171</v>
      </c>
      <c r="C206" s="110" t="s">
        <v>48</v>
      </c>
      <c r="D206" s="106">
        <v>210</v>
      </c>
      <c r="E206" s="247" t="s">
        <v>259</v>
      </c>
      <c r="F206" s="506">
        <v>0</v>
      </c>
      <c r="G206" s="507"/>
      <c r="H206" s="507">
        <v>0</v>
      </c>
      <c r="I206" s="508"/>
      <c r="J206" s="506">
        <f t="shared" si="41"/>
        <v>0</v>
      </c>
      <c r="K206" s="159"/>
      <c r="L206" s="176">
        <f>492.1-492.1</f>
        <v>0</v>
      </c>
      <c r="M206" s="717"/>
      <c r="N206" s="718">
        <f t="shared" si="42"/>
        <v>0</v>
      </c>
      <c r="O206" s="658"/>
      <c r="P206" s="658">
        <v>0</v>
      </c>
      <c r="Q206" s="719"/>
      <c r="R206" s="217"/>
    </row>
    <row r="207" spans="1:18" ht="12.75">
      <c r="A207" s="739">
        <v>22651</v>
      </c>
      <c r="B207" s="534">
        <v>6171</v>
      </c>
      <c r="C207" s="627" t="s">
        <v>46</v>
      </c>
      <c r="D207" s="536">
        <v>10</v>
      </c>
      <c r="E207" s="512" t="s">
        <v>284</v>
      </c>
      <c r="F207" s="513">
        <v>0</v>
      </c>
      <c r="G207" s="514"/>
      <c r="H207" s="514"/>
      <c r="I207" s="515">
        <v>0</v>
      </c>
      <c r="J207" s="513">
        <f>SUM(K207:M207)</f>
        <v>120</v>
      </c>
      <c r="K207" s="516"/>
      <c r="L207" s="461"/>
      <c r="M207" s="517">
        <v>120</v>
      </c>
      <c r="N207" s="518">
        <f>SUM(O207:Q207)</f>
        <v>120</v>
      </c>
      <c r="O207" s="519"/>
      <c r="P207" s="519"/>
      <c r="Q207" s="651">
        <v>120</v>
      </c>
      <c r="R207" s="217"/>
    </row>
    <row r="208" spans="1:18" ht="13.5" thickBot="1">
      <c r="A208" s="740">
        <v>22651</v>
      </c>
      <c r="B208" s="609">
        <v>6171</v>
      </c>
      <c r="C208" s="726" t="s">
        <v>46</v>
      </c>
      <c r="D208" s="581">
        <v>210</v>
      </c>
      <c r="E208" s="522" t="s">
        <v>284</v>
      </c>
      <c r="F208" s="727">
        <v>0</v>
      </c>
      <c r="G208" s="728"/>
      <c r="H208" s="728"/>
      <c r="I208" s="729">
        <v>0</v>
      </c>
      <c r="J208" s="727">
        <f>SUM(K208:M208)</f>
        <v>26</v>
      </c>
      <c r="K208" s="730"/>
      <c r="L208" s="549"/>
      <c r="M208" s="731">
        <v>26</v>
      </c>
      <c r="N208" s="732">
        <f>SUM(O208:Q208)</f>
        <v>25.2</v>
      </c>
      <c r="O208" s="733"/>
      <c r="P208" s="733"/>
      <c r="Q208" s="734">
        <v>25.2</v>
      </c>
      <c r="R208" s="217"/>
    </row>
    <row r="209" spans="1:18" ht="12.75">
      <c r="A209" s="720">
        <v>22656</v>
      </c>
      <c r="B209" s="53">
        <v>6171</v>
      </c>
      <c r="C209" s="82" t="s">
        <v>46</v>
      </c>
      <c r="D209" s="108">
        <v>210</v>
      </c>
      <c r="E209" s="246" t="s">
        <v>304</v>
      </c>
      <c r="F209" s="321">
        <f>SUM(G209:I209)</f>
        <v>0</v>
      </c>
      <c r="G209" s="721">
        <v>0</v>
      </c>
      <c r="H209" s="721"/>
      <c r="I209" s="722"/>
      <c r="J209" s="321">
        <f t="shared" si="41"/>
        <v>100</v>
      </c>
      <c r="K209" s="723"/>
      <c r="L209" s="724"/>
      <c r="M209" s="195">
        <v>100</v>
      </c>
      <c r="N209" s="98">
        <f t="shared" si="42"/>
        <v>46.38</v>
      </c>
      <c r="O209" s="268"/>
      <c r="P209" s="173"/>
      <c r="Q209" s="725">
        <v>46.38</v>
      </c>
      <c r="R209" s="217"/>
    </row>
    <row r="210" spans="1:18" ht="13.5" thickBot="1">
      <c r="A210" s="396" t="s">
        <v>23</v>
      </c>
      <c r="B210" s="412"/>
      <c r="C210" s="149"/>
      <c r="D210" s="42"/>
      <c r="E210" s="49"/>
      <c r="F210" s="346"/>
      <c r="G210" s="46"/>
      <c r="H210" s="46"/>
      <c r="I210" s="46"/>
      <c r="J210" s="54"/>
      <c r="K210" s="80"/>
      <c r="L210" s="80"/>
      <c r="M210" s="80"/>
      <c r="N210" s="54"/>
      <c r="O210" s="54"/>
      <c r="P210" s="54"/>
      <c r="Q210" s="54"/>
      <c r="R210" s="237"/>
    </row>
    <row r="211" spans="1:23" ht="13.5" thickBot="1">
      <c r="A211" s="348"/>
      <c r="B211" s="391"/>
      <c r="C211" s="419"/>
      <c r="D211" s="351"/>
      <c r="E211" s="410" t="s">
        <v>14</v>
      </c>
      <c r="F211" s="355">
        <f aca="true" t="shared" si="43" ref="F211:F216">SUM(G211:I211)</f>
        <v>50000</v>
      </c>
      <c r="G211" s="356">
        <f>SUM(G212:G216)</f>
        <v>0</v>
      </c>
      <c r="H211" s="356">
        <f>SUM(H212:H216)</f>
        <v>0</v>
      </c>
      <c r="I211" s="356">
        <f>SUM(I212:I216)</f>
        <v>50000</v>
      </c>
      <c r="J211" s="353">
        <f aca="true" t="shared" si="44" ref="J211:J216">SUM(K211:M211)</f>
        <v>33826.7</v>
      </c>
      <c r="K211" s="357">
        <f>SUM(K212:K216)</f>
        <v>0</v>
      </c>
      <c r="L211" s="357">
        <f>SUM(L212:L216)</f>
        <v>0</v>
      </c>
      <c r="M211" s="357">
        <f>SUM(M212:M216)</f>
        <v>33826.7</v>
      </c>
      <c r="N211" s="420">
        <f aca="true" t="shared" si="45" ref="N211:N216">SUM(O211:Q211)</f>
        <v>1128.97</v>
      </c>
      <c r="O211" s="358">
        <f>SUM(O212:O216)</f>
        <v>0</v>
      </c>
      <c r="P211" s="358">
        <f>SUM(P212:P216)</f>
        <v>0</v>
      </c>
      <c r="Q211" s="358">
        <f>SUM(Q212:Q216)</f>
        <v>1128.97</v>
      </c>
      <c r="R211" s="359">
        <f>SUM(N211/J211)</f>
        <v>0.033375114924009734</v>
      </c>
      <c r="W211" s="178"/>
    </row>
    <row r="212" spans="1:23" ht="12.75">
      <c r="A212" s="37"/>
      <c r="B212" s="413">
        <v>6330</v>
      </c>
      <c r="C212" s="329">
        <v>1000</v>
      </c>
      <c r="D212" s="414">
        <v>90</v>
      </c>
      <c r="E212" s="415" t="s">
        <v>50</v>
      </c>
      <c r="F212" s="91">
        <f t="shared" si="43"/>
        <v>0</v>
      </c>
      <c r="G212" s="97"/>
      <c r="H212" s="97"/>
      <c r="I212" s="416">
        <v>0</v>
      </c>
      <c r="J212" s="91">
        <f t="shared" si="44"/>
        <v>1129</v>
      </c>
      <c r="K212" s="97"/>
      <c r="L212" s="232"/>
      <c r="M212" s="417">
        <v>1129</v>
      </c>
      <c r="N212" s="418">
        <f t="shared" si="45"/>
        <v>1128.97</v>
      </c>
      <c r="O212" s="234"/>
      <c r="P212" s="170"/>
      <c r="Q212" s="235">
        <v>1128.97</v>
      </c>
      <c r="R212" s="217"/>
      <c r="W212" s="178"/>
    </row>
    <row r="213" spans="1:23" ht="12.75">
      <c r="A213" s="37" t="s">
        <v>61</v>
      </c>
      <c r="B213" s="413">
        <v>6409</v>
      </c>
      <c r="C213" s="329">
        <v>1000</v>
      </c>
      <c r="D213" s="414"/>
      <c r="E213" s="415" t="s">
        <v>50</v>
      </c>
      <c r="F213" s="91">
        <f t="shared" si="43"/>
        <v>0</v>
      </c>
      <c r="G213" s="97"/>
      <c r="H213" s="97"/>
      <c r="I213" s="416">
        <v>0</v>
      </c>
      <c r="J213" s="91">
        <f t="shared" si="44"/>
        <v>13200</v>
      </c>
      <c r="K213" s="97"/>
      <c r="L213" s="232"/>
      <c r="M213" s="417">
        <f>15000-1800</f>
        <v>13200</v>
      </c>
      <c r="N213" s="418">
        <f t="shared" si="45"/>
        <v>0</v>
      </c>
      <c r="O213" s="234"/>
      <c r="P213" s="170"/>
      <c r="Q213" s="235">
        <v>0</v>
      </c>
      <c r="R213" s="217"/>
      <c r="W213" s="178"/>
    </row>
    <row r="214" spans="1:23" ht="12.75">
      <c r="A214" s="37" t="s">
        <v>61</v>
      </c>
      <c r="B214" s="413">
        <v>6409</v>
      </c>
      <c r="C214" s="329">
        <v>1000</v>
      </c>
      <c r="D214" s="414">
        <v>10</v>
      </c>
      <c r="E214" s="415" t="s">
        <v>50</v>
      </c>
      <c r="F214" s="91">
        <f t="shared" si="43"/>
        <v>50000</v>
      </c>
      <c r="G214" s="97"/>
      <c r="H214" s="97"/>
      <c r="I214" s="416">
        <v>50000</v>
      </c>
      <c r="J214" s="91">
        <f t="shared" si="44"/>
        <v>17771</v>
      </c>
      <c r="K214" s="97"/>
      <c r="L214" s="232"/>
      <c r="M214" s="417">
        <f>50000-2420-300-1500-3600-945-86-550-1305-10000-7000-500-250-850-303-2500-120</f>
        <v>17771</v>
      </c>
      <c r="N214" s="418">
        <f t="shared" si="45"/>
        <v>0</v>
      </c>
      <c r="O214" s="234"/>
      <c r="P214" s="170"/>
      <c r="Q214" s="235">
        <v>0</v>
      </c>
      <c r="R214" s="217"/>
      <c r="W214" s="178"/>
    </row>
    <row r="215" spans="1:23" ht="12.75">
      <c r="A215" s="37" t="s">
        <v>61</v>
      </c>
      <c r="B215" s="413">
        <v>6409</v>
      </c>
      <c r="C215" s="329">
        <v>1000</v>
      </c>
      <c r="D215" s="414">
        <v>119</v>
      </c>
      <c r="E215" s="415" t="s">
        <v>50</v>
      </c>
      <c r="F215" s="91">
        <f t="shared" si="43"/>
        <v>0</v>
      </c>
      <c r="G215" s="97"/>
      <c r="H215" s="97"/>
      <c r="I215" s="416">
        <v>0</v>
      </c>
      <c r="J215" s="91">
        <f t="shared" si="44"/>
        <v>469.7</v>
      </c>
      <c r="K215" s="97"/>
      <c r="L215" s="232"/>
      <c r="M215" s="417">
        <v>469.7</v>
      </c>
      <c r="N215" s="418">
        <f t="shared" si="45"/>
        <v>0</v>
      </c>
      <c r="O215" s="234"/>
      <c r="P215" s="170"/>
      <c r="Q215" s="235">
        <v>0</v>
      </c>
      <c r="R215" s="217"/>
      <c r="W215" s="178"/>
    </row>
    <row r="216" spans="1:18" ht="12.75">
      <c r="A216" s="37" t="s">
        <v>61</v>
      </c>
      <c r="B216" s="413">
        <v>6409</v>
      </c>
      <c r="C216" s="329">
        <v>1000</v>
      </c>
      <c r="D216" s="414">
        <v>210</v>
      </c>
      <c r="E216" s="415" t="s">
        <v>50</v>
      </c>
      <c r="F216" s="91">
        <f t="shared" si="43"/>
        <v>0</v>
      </c>
      <c r="G216" s="97"/>
      <c r="H216" s="97"/>
      <c r="I216" s="416">
        <v>0</v>
      </c>
      <c r="J216" s="91">
        <f t="shared" si="44"/>
        <v>1257</v>
      </c>
      <c r="K216" s="97"/>
      <c r="L216" s="232"/>
      <c r="M216" s="417">
        <f>1295-38</f>
        <v>1257</v>
      </c>
      <c r="N216" s="418">
        <f t="shared" si="45"/>
        <v>0</v>
      </c>
      <c r="O216" s="234"/>
      <c r="P216" s="170"/>
      <c r="Q216" s="235">
        <v>0</v>
      </c>
      <c r="R216" s="217"/>
    </row>
    <row r="217" spans="1:18" ht="13.5" thickBot="1">
      <c r="A217" s="405" t="s">
        <v>22</v>
      </c>
      <c r="B217" s="56"/>
      <c r="C217" s="56"/>
      <c r="D217" s="43"/>
      <c r="E217" s="43"/>
      <c r="F217" s="83"/>
      <c r="G217" s="88"/>
      <c r="H217" s="88"/>
      <c r="I217" s="88"/>
      <c r="J217" s="54"/>
      <c r="K217" s="80"/>
      <c r="L217" s="80"/>
      <c r="M217" s="80"/>
      <c r="N217" s="54"/>
      <c r="O217" s="54"/>
      <c r="P217" s="54"/>
      <c r="Q217" s="54"/>
      <c r="R217" s="237"/>
    </row>
    <row r="218" spans="1:18" ht="14.25" thickBot="1" thickTop="1">
      <c r="A218" s="421"/>
      <c r="B218" s="422"/>
      <c r="C218" s="422"/>
      <c r="D218" s="423"/>
      <c r="E218" s="424" t="s">
        <v>15</v>
      </c>
      <c r="F218" s="425">
        <f>SUM(G218:I218)</f>
        <v>530250</v>
      </c>
      <c r="G218" s="426">
        <f>SUM(G8+G24+G51+G60+G130+G149+G154+G157+G188+G211)</f>
        <v>467120</v>
      </c>
      <c r="H218" s="426">
        <f>SUM(H8+H24+H51+H60+H130+H149+H154+H157+H188+H211)</f>
        <v>3350</v>
      </c>
      <c r="I218" s="426">
        <f>SUM(I8+I24+I51+I60+I130+I149+I154+I157+I188+I211)</f>
        <v>59780</v>
      </c>
      <c r="J218" s="427">
        <f>SUM(K218:M218)</f>
        <v>482932.89999999997</v>
      </c>
      <c r="K218" s="428">
        <f>SUM(K8+K24+K51+K60+K130+K149+K154+K157+K188+K211)</f>
        <v>419102.3</v>
      </c>
      <c r="L218" s="429">
        <f>SUM(L8+L24+L51+L60+L130+L149+L154+L157+L188+L211)</f>
        <v>9497.8</v>
      </c>
      <c r="M218" s="430">
        <f>SUM(M8+M24+M51+M60+M130+M149+M154+M157+M188+M211)</f>
        <v>54332.799999999996</v>
      </c>
      <c r="N218" s="427">
        <f>SUM(O218:Q218)</f>
        <v>303093.42000000004</v>
      </c>
      <c r="O218" s="430">
        <f>SUM(O8+O24+O51+O60+O130+O149+O154+O157+O188+O211)</f>
        <v>276801.63</v>
      </c>
      <c r="P218" s="426">
        <f>SUM(P8+P24+P51+P60+P130+P149+P154+P157+P188+P211)</f>
        <v>8033.509999999999</v>
      </c>
      <c r="Q218" s="426">
        <f>SUM(Q8+Q24+Q51+Q60+Q130+Q149+Q154+Q157+Q188+Q211)</f>
        <v>18258.28</v>
      </c>
      <c r="R218" s="431">
        <f>SUM(N218/J218)</f>
        <v>0.6276097983798579</v>
      </c>
    </row>
    <row r="219" spans="1:18" ht="13.5" thickTop="1">
      <c r="A219" s="3"/>
      <c r="B219" s="57"/>
      <c r="C219" s="57"/>
      <c r="D219" s="58"/>
      <c r="E219" s="59"/>
      <c r="F219" s="60"/>
      <c r="G219" s="61"/>
      <c r="H219" s="61"/>
      <c r="I219" s="61"/>
      <c r="J219" s="60"/>
      <c r="K219" s="61"/>
      <c r="L219" s="61"/>
      <c r="M219" s="61"/>
      <c r="N219" s="60"/>
      <c r="O219" s="61"/>
      <c r="P219" s="61"/>
      <c r="Q219" s="61"/>
      <c r="R219" s="1"/>
    </row>
    <row r="220" spans="1:18" ht="12.75">
      <c r="A220" s="3"/>
      <c r="B220" s="57"/>
      <c r="C220" s="57"/>
      <c r="D220" s="58"/>
      <c r="E220" s="59"/>
      <c r="F220" s="60"/>
      <c r="G220" s="61"/>
      <c r="H220" s="61"/>
      <c r="I220" s="61"/>
      <c r="J220" s="60"/>
      <c r="K220" s="61"/>
      <c r="L220" s="61"/>
      <c r="M220" s="61"/>
      <c r="N220" s="60"/>
      <c r="O220" s="61"/>
      <c r="P220" s="61"/>
      <c r="Q220" s="61"/>
      <c r="R220" s="1"/>
    </row>
    <row r="222" ht="12.75">
      <c r="E222" s="335"/>
    </row>
    <row r="223" ht="12.75">
      <c r="E223" s="335"/>
    </row>
  </sheetData>
  <sheetProtection formatCells="0" formatColumns="0" formatRows="0" insertColumns="0" insertRows="0" insertHyperlinks="0" deleteColumns="0" deleteRows="0" sort="0" autoFilter="0" pivotTables="0"/>
  <mergeCells count="2">
    <mergeCell ref="K4:M4"/>
    <mergeCell ref="O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Kolovratova</dc:creator>
  <cp:keywords/>
  <dc:description/>
  <cp:lastModifiedBy>Kolovratová Martina</cp:lastModifiedBy>
  <cp:lastPrinted>2023-01-17T11:12:06Z</cp:lastPrinted>
  <dcterms:created xsi:type="dcterms:W3CDTF">2012-06-25T08:38:58Z</dcterms:created>
  <dcterms:modified xsi:type="dcterms:W3CDTF">2023-03-30T07:18:42Z</dcterms:modified>
  <cp:category/>
  <cp:version/>
  <cp:contentType/>
  <cp:contentStatus/>
</cp:coreProperties>
</file>